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510" windowHeight="8205" tabRatio="599"/>
  </bookViews>
  <sheets>
    <sheet name="Лист1" sheetId="1" r:id="rId1"/>
  </sheets>
  <definedNames>
    <definedName name="_xlnm._FilterDatabase" localSheetId="0" hidden="1">Лист1!$A$22:$V$138</definedName>
    <definedName name="_xlnm.Print_Area" localSheetId="0">Лист1!$A$1:$M$262</definedName>
  </definedName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2" i="1"/>
  <c r="J141" s="1"/>
  <c r="K152"/>
  <c r="K141" s="1"/>
  <c r="L152"/>
  <c r="L141" s="1"/>
  <c r="I152"/>
  <c r="I243"/>
  <c r="J243"/>
  <c r="K243"/>
  <c r="L243"/>
  <c r="L61" l="1"/>
  <c r="K27" l="1"/>
  <c r="L27"/>
  <c r="J27" l="1"/>
  <c r="K28" l="1"/>
  <c r="L28"/>
  <c r="J24"/>
  <c r="J23"/>
  <c r="L238" l="1"/>
  <c r="K238"/>
  <c r="J238"/>
  <c r="J25" l="1"/>
  <c r="J22" s="1"/>
  <c r="J26"/>
  <c r="J237"/>
  <c r="K25"/>
  <c r="K26"/>
  <c r="K237"/>
  <c r="L25"/>
  <c r="L26"/>
  <c r="L237"/>
  <c r="L248"/>
  <c r="L247" s="1"/>
  <c r="L233"/>
  <c r="L222"/>
  <c r="K217"/>
  <c r="L217"/>
  <c r="L212"/>
  <c r="L205"/>
  <c r="L176"/>
  <c r="L167"/>
  <c r="L158"/>
  <c r="L30"/>
  <c r="L23"/>
  <c r="L24"/>
  <c r="L29" l="1"/>
  <c r="L22"/>
  <c r="L221"/>
  <c r="I234"/>
  <c r="I249" l="1"/>
  <c r="I253"/>
  <c r="I149"/>
  <c r="I230" l="1"/>
  <c r="K23"/>
  <c r="K24"/>
  <c r="I23"/>
  <c r="G27"/>
  <c r="I27"/>
  <c r="G26"/>
  <c r="G25"/>
  <c r="G24"/>
  <c r="G23"/>
  <c r="G167" l="1"/>
  <c r="H167"/>
  <c r="I167"/>
  <c r="J167"/>
  <c r="K167"/>
  <c r="G158"/>
  <c r="H158"/>
  <c r="I158"/>
  <c r="J158"/>
  <c r="K158"/>
  <c r="J217" l="1"/>
  <c r="I147" l="1"/>
  <c r="I92" l="1"/>
  <c r="I91"/>
  <c r="I43"/>
  <c r="I41"/>
  <c r="I141" l="1"/>
  <c r="I25" l="1"/>
  <c r="I26"/>
  <c r="I24" l="1"/>
  <c r="H82"/>
  <c r="G248"/>
  <c r="I248"/>
  <c r="I247" s="1"/>
  <c r="J248"/>
  <c r="J247" s="1"/>
  <c r="K248"/>
  <c r="K247" s="1"/>
  <c r="G247"/>
  <c r="I237"/>
  <c r="G237"/>
  <c r="J233"/>
  <c r="K233"/>
  <c r="I233"/>
  <c r="G233"/>
  <c r="K222"/>
  <c r="J222"/>
  <c r="I222"/>
  <c r="G222"/>
  <c r="K212"/>
  <c r="J212"/>
  <c r="I212"/>
  <c r="K205"/>
  <c r="J205"/>
  <c r="I205"/>
  <c r="H198"/>
  <c r="G198"/>
  <c r="G176"/>
  <c r="G141"/>
  <c r="J221" l="1"/>
  <c r="G221"/>
  <c r="I221"/>
  <c r="K221"/>
  <c r="G28"/>
  <c r="I28"/>
  <c r="J28"/>
  <c r="H157"/>
  <c r="H23" s="1"/>
  <c r="G212"/>
  <c r="H212"/>
  <c r="G205"/>
  <c r="H205"/>
  <c r="H43"/>
  <c r="H145"/>
  <c r="H143"/>
  <c r="H142"/>
  <c r="H62"/>
  <c r="H83"/>
  <c r="H39"/>
  <c r="H79"/>
  <c r="H255"/>
  <c r="H147"/>
  <c r="H234"/>
  <c r="H246"/>
  <c r="H243" s="1"/>
  <c r="H238"/>
  <c r="H237" s="1"/>
  <c r="H236"/>
  <c r="H224"/>
  <c r="H150"/>
  <c r="H146"/>
  <c r="H78"/>
  <c r="H37"/>
  <c r="H33"/>
  <c r="H137"/>
  <c r="H151"/>
  <c r="H253"/>
  <c r="H68"/>
  <c r="H35"/>
  <c r="H31"/>
  <c r="H229"/>
  <c r="H120"/>
  <c r="H41"/>
  <c r="H92"/>
  <c r="H91"/>
  <c r="H63"/>
  <c r="H77"/>
  <c r="H230"/>
  <c r="H249"/>
  <c r="H114"/>
  <c r="H95"/>
  <c r="H36"/>
  <c r="K176"/>
  <c r="K130"/>
  <c r="K61" s="1"/>
  <c r="K45"/>
  <c r="J176"/>
  <c r="J130"/>
  <c r="J61" s="1"/>
  <c r="J45"/>
  <c r="J30" s="1"/>
  <c r="I176"/>
  <c r="I130"/>
  <c r="I61" s="1"/>
  <c r="I45"/>
  <c r="I30" s="1"/>
  <c r="H176"/>
  <c r="H130"/>
  <c r="H45"/>
  <c r="G130"/>
  <c r="G61" s="1"/>
  <c r="G45"/>
  <c r="G30" s="1"/>
  <c r="J29" l="1"/>
  <c r="G29"/>
  <c r="H30"/>
  <c r="H27"/>
  <c r="I29"/>
  <c r="H24"/>
  <c r="H26"/>
  <c r="H25"/>
  <c r="H233"/>
  <c r="H141"/>
  <c r="H61"/>
  <c r="H222"/>
  <c r="H28"/>
  <c r="H248"/>
  <c r="H247" s="1"/>
  <c r="K30"/>
  <c r="K29" s="1"/>
  <c r="G22"/>
  <c r="K22"/>
  <c r="I22"/>
  <c r="H29" l="1"/>
  <c r="H221"/>
  <c r="H22"/>
</calcChain>
</file>

<file path=xl/comments1.xml><?xml version="1.0" encoding="utf-8"?>
<comments xmlns="http://schemas.openxmlformats.org/spreadsheetml/2006/main">
  <authors>
    <author>Ольга</author>
  </authors>
  <commentList>
    <comment ref="E119" authorId="0">
      <text>
        <r>
          <rPr>
            <b/>
            <sz val="10"/>
            <color indexed="81"/>
            <rFont val="Tahoma"/>
            <family val="2"/>
            <charset val="204"/>
          </rPr>
          <t>Ольга:</t>
        </r>
        <r>
          <rPr>
            <sz val="10"/>
            <color indexed="81"/>
            <rFont val="Tahoma"/>
            <family val="2"/>
            <charset val="204"/>
          </rPr>
          <t xml:space="preserve">
1648324,04
</t>
        </r>
      </text>
    </comment>
    <comment ref="E120"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<sst xmlns="http://schemas.openxmlformats.org/spreadsheetml/2006/main" count="726" uniqueCount="397">
  <si>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</si>
  <si>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</si>
  <si>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</si>
  <si>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</si>
  <si>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</si>
  <si>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</si>
  <si>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</si>
  <si>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</si>
  <si>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</si>
  <si>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</si>
  <si>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</si>
  <si>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</si>
  <si>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</si>
  <si>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</si>
  <si>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</si>
  <si>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</si>
  <si>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</si>
  <si>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</si>
  <si>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</si>
  <si>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</si>
  <si>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</si>
  <si>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</si>
  <si>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</si>
  <si>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</si>
  <si>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</si>
  <si>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</si>
  <si>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</si>
  <si>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</si>
  <si>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</si>
  <si>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</si>
  <si>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</si>
  <si>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</si>
  <si>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</si>
  <si>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</si>
  <si>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</si>
  <si>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</si>
  <si>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</si>
  <si>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</si>
  <si>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</si>
  <si>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</si>
  <si>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</si>
  <si>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</si>
  <si>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</si>
  <si>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</si>
  <si>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</si>
  <si>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</si>
  <si>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</si>
  <si>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</si>
  <si>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</si>
  <si>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</si>
  <si>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</si>
  <si>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</si>
  <si>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</si>
  <si>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</si>
  <si>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</si>
  <si>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</si>
  <si>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</si>
  <si>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</si>
  <si>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</si>
  <si>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</si>
  <si>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</si>
  <si>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</si>
  <si>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</si>
  <si>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</si>
  <si>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</si>
  <si>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</si>
  <si>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</si>
  <si>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</si>
  <si>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</si>
  <si>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</si>
  <si>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</si>
  <si>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</si>
  <si>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</si>
  <si>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</si>
  <si>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</si>
  <si>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</si>
  <si>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</si>
  <si>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</si>
  <si>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321Е100000</t>
  </si>
  <si>
    <t>УКМПСТ</t>
  </si>
  <si>
    <t>1.23.;                                   1.24.;                                     1.25.;                             1.26.</t>
  </si>
  <si>
    <t>2.1.;                                                     2.2.;                                            2.3.</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</si>
  <si>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</si>
  <si>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</si>
  <si>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</si>
  <si>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</si>
  <si>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</si>
  <si>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</si>
  <si>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</si>
  <si>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</si>
  <si>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</si>
  <si>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</si>
  <si>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</si>
  <si>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</si>
  <si>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</si>
  <si>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</si>
  <si>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</si>
  <si>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</si>
  <si>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</si>
  <si>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</si>
  <si>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</si>
  <si>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</si>
  <si>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</si>
  <si>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</si>
  <si>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</si>
  <si>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</si>
  <si>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</si>
  <si>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</si>
  <si>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</si>
  <si>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</si>
  <si>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</si>
  <si>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</si>
  <si>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</si>
  <si>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</si>
  <si>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</si>
  <si>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</si>
  <si>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</si>
  <si>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</si>
  <si>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</si>
  <si>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</si>
  <si>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</si>
  <si>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</si>
  <si>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</si>
  <si>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</si>
  <si>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</si>
  <si>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</si>
  <si>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</si>
  <si>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</si>
  <si>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</si>
  <si>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</si>
  <si>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</si>
  <si>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</si>
  <si>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</si>
  <si>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</si>
  <si>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</si>
  <si>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</si>
  <si>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</si>
  <si>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</si>
  <si>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321Е4 52100</t>
  </si>
  <si>
    <t>1. Кап. ремонт по созданию условий для получения детьми-инвалидами кач. образования; 2. Кап. ремонт кровли ЦДО; 3. Кап.ремонт фасада ЦДО</t>
  </si>
  <si>
    <t>07 03</t>
  </si>
  <si>
    <t>32203 0058П</t>
  </si>
  <si>
    <t>32203 00000</t>
  </si>
  <si>
    <t>32102 S1450</t>
  </si>
  <si>
    <t xml:space="preserve">к текстовой части муниципальной программы «Развитие образования в Усть-Абаканском районе» 
</t>
  </si>
  <si>
    <t>РЕСУРСНОЕ ОБЕСПЕЧЕНИЕ</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</si>
  <si>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</si>
  <si>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</si>
  <si>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</si>
  <si>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</si>
  <si>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</si>
  <si>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</si>
  <si>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</si>
  <si>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</si>
  <si>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</si>
  <si>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</si>
  <si>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</si>
  <si>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</si>
  <si>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</si>
  <si>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</si>
  <si>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</si>
  <si>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</si>
  <si>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</si>
  <si>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</si>
  <si>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</si>
  <si>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</si>
  <si>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</si>
  <si>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</si>
  <si>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</si>
  <si>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</si>
  <si>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</si>
  <si>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</si>
  <si>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</si>
  <si>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</si>
  <si>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</si>
  <si>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</si>
  <si>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</si>
  <si>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</si>
  <si>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</si>
  <si>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</si>
  <si>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</si>
  <si>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</si>
  <si>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</si>
  <si>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</si>
  <si>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</si>
  <si>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</si>
  <si>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</si>
  <si>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</si>
  <si>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</si>
  <si>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</si>
  <si>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</si>
  <si>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</si>
  <si>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</si>
  <si>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</si>
  <si>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</si>
  <si>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</si>
  <si>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</si>
  <si>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</si>
  <si>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</si>
  <si>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</si>
  <si>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</si>
  <si>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</si>
  <si>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</si>
  <si>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</si>
  <si>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</si>
  <si>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</si>
  <si>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</si>
  <si>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</si>
  <si>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</si>
  <si>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</si>
  <si>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</si>
  <si>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</si>
  <si>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</si>
  <si>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</si>
  <si>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</si>
  <si>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</si>
  <si>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</si>
  <si>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</si>
  <si>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</si>
  <si>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</si>
  <si>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</si>
  <si>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</si>
  <si>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</si>
  <si>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</si>
  <si>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</si>
  <si>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</si>
  <si>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</si>
  <si>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</si>
  <si>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</si>
  <si>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</si>
  <si>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</si>
  <si>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</si>
  <si>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</si>
  <si>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</si>
  <si>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</si>
  <si>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</si>
  <si>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</si>
  <si>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</si>
  <si>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</si>
  <si>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</si>
  <si>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</si>
  <si>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</si>
  <si>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</si>
  <si>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</si>
  <si>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</si>
  <si>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</si>
  <si>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</si>
  <si>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</si>
  <si>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</si>
  <si>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</si>
  <si>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</si>
  <si>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</si>
  <si>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</si>
  <si>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</si>
  <si>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</si>
  <si>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</si>
  <si>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</si>
  <si>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</si>
  <si>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</si>
  <si>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</si>
  <si>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</si>
  <si>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</si>
  <si>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321Ю4 55590</t>
  </si>
  <si>
    <t>321Ю6 50500</t>
  </si>
  <si>
    <t>321Ю6 53030</t>
  </si>
  <si>
    <t>321Ю6 00000</t>
  </si>
  <si>
    <t>321Я1 53150</t>
  </si>
  <si>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</si>
  <si>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</si>
  <si>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</si>
  <si>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</si>
  <si>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</si>
  <si>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</si>
  <si>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</si>
  <si>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</si>
  <si>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</si>
  <si>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</si>
  <si>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</si>
  <si>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</si>
  <si>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</si>
  <si>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</si>
  <si>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</si>
  <si>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</si>
  <si>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</si>
  <si>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</si>
  <si>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</si>
  <si>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</si>
  <si>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</si>
  <si>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</si>
  <si>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</si>
  <si>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Оплата труда</t>
  </si>
  <si>
    <t>Ликвидация чрезвычайной ситуации: ремонт кровли</t>
  </si>
  <si>
    <t>321Ю6 51790</t>
  </si>
  <si>
    <t>Оплата труда (вознаграждение)</t>
  </si>
  <si>
    <t xml:space="preserve">1.Обследование здания МБДОУ "ДС "Родничок"
</t>
  </si>
  <si>
    <t>от ____________ 2025 № ________</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</si>
  <si>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</si>
  <si>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</si>
  <si>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</si>
  <si>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</si>
  <si>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2022- Земельный налог за участок под строительство школы д.Чапаево.</t>
  </si>
  <si>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</si>
  <si>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</si>
  <si>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</si>
  <si>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</si>
  <si>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</si>
  <si>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</si>
  <si>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</si>
  <si>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</si>
  <si>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</si>
  <si>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32103 01990</t>
  </si>
  <si>
    <t>Мероприятие 1.1.8. "Реализация инициативного проекта "Родничок - территория счастливого и безопасного детства"</t>
  </si>
  <si>
    <t>32104 0000</t>
  </si>
  <si>
    <t>Основное мероприятие 1.2"Развитие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</si>
  <si>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</si>
  <si>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</si>
  <si>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</si>
  <si>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</si>
  <si>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</si>
  <si>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</si>
  <si>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</si>
  <si>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</si>
  <si>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</si>
  <si>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</si>
  <si>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</si>
  <si>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</si>
  <si>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</si>
  <si>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</si>
  <si>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</si>
  <si>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</si>
  <si>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</si>
  <si>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</si>
  <si>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</si>
  <si>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</si>
  <si>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Основное мероприятие 1.3"Обеспечение условий развития сферы образования"</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</si>
  <si>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</si>
  <si>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</si>
  <si>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Мероприятие 1.3.4 "Органы местного самоуправления"</t>
  </si>
  <si>
    <t>Мероприятие 1.3.4.1 "Фонд оплаты труда муниципальных служащих"</t>
  </si>
  <si>
    <t>Мероприятие 1.3.4.2 "Фонд оплаты труда работников, замещающих должности, не являющиеся должностями муниципальной службы"</t>
  </si>
  <si>
    <t>Мероприятие 1.3.4.3. "Содержание органов местного управления"</t>
  </si>
  <si>
    <t>0702.</t>
  </si>
  <si>
    <t>32104 И2401</t>
  </si>
  <si>
    <t>0701.</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</si>
  <si>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</si>
  <si>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</si>
  <si>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</si>
  <si>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</si>
  <si>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</si>
  <si>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</si>
  <si>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</si>
  <si>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</si>
  <si>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1.9 " Региональный проект "Все лучшее детям"</t>
  </si>
  <si>
    <t>Мероприятие 1.9.1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</si>
  <si>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1.9.2 "Реализация мероприятий по модернизации школьных систем образования (в том числе софинансирование с республиканским бюджетом)"</t>
  </si>
  <si>
    <t>Основное мероприятие 1.10 "  Региональный проект "Педагоги и наставники"</t>
  </si>
  <si>
    <t>Мероприятие 1.10.1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</si>
  <si>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1.10.3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</si>
  <si>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1.11" Региональный проект  "Поддержка семьи"</t>
  </si>
  <si>
    <t>Мероприятие 1.11.1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</si>
  <si>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17.Разработка ПСД на проведене капитального ремонта здания МБОУ "Усть-Абаканская СОШ им. М.Е. Орлова" (корпус № 1)
</t>
  </si>
  <si>
    <t>Основное мероприятие 1.4"Региональный проект Республики Хакасия "Современная школа"</t>
  </si>
  <si>
    <t>Мероприятие 1.4.1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</si>
  <si>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1.4.2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</si>
  <si>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1.4.3. "Реализация мероприятий по развитию общеобразовательных организаций (за счет средств целевой безвозмездной помощи)"</t>
  </si>
  <si>
    <t>Мероприятие 1.4.4. "Реализация мероприятий по развитию общеобразовательных организаций (софинансирование)"</t>
  </si>
  <si>
    <t>Основное мероприятие 1.5"Региональный проект Республики Хакасия "Цифровая образовательная среда"</t>
  </si>
  <si>
    <t>Мероприятие 1.5.1."Обеспечение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</si>
  <si>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1.5.2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</si>
  <si>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1.5.3 "Реализация мероприятий по развитию общеобразовательных организаций"</t>
  </si>
  <si>
    <t>Мероприятие 1.5.4 "Реализация мероприятий по развитию общеобразовательных организаций (софинансирование)"</t>
  </si>
  <si>
    <t>Основное мероприятие 1.7"Реализация инициативных проектов муниципального образования"</t>
  </si>
  <si>
    <t>Мероприятие 1.7.1 "Реализация  инициативноно проекта "Актовый зал школы - центр молодежных инициатив " МБОУ "Усть-Абаканская СОШ им.М.Е.Орлова"</t>
  </si>
  <si>
    <t>Мероприятие 1.7.2 "Реализация инициативного проекта "Родничок - территория счастливого и безопасного детства"</t>
  </si>
  <si>
    <t>Мероприятие 1.7.3 "Реализация инициативного поекта "Спортивная молодежь - сильная Россия""</t>
  </si>
  <si>
    <t>1. обучение по мерам пожарной безопасности; 2.приобретение огнетушителей ; 3. испытание пожарных кранов, лестниц ; 4. огнезащитная обработка кровли ; 5. тек.ремон блочно-модульной котельной Терморобот МБОУ "ДС" Калинка", аварийно-восстановительный ремонт кровли после ЧС МБДОУ "ЦРР-ДС "Ласточка"</t>
  </si>
  <si>
    <t>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13. Аварийно-восстановительный ремонт наружной канализации : МБОУ "Расцветская СОШ, МБОУ "Калининская СОШ"; 14.аварийно-восстановительный ремонт кровли после ЧС :МБОУ "Райковская СОШ им.Н.И. Носова", МБОУ "Чапаевская СОШ", МБОУ "Сапоговская СОШ"</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</si>
  <si>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муниципального района Республики Хакасия</t>
  </si>
  <si>
    <t>1.прочие услуги 2. приобретение основных средств 3.приобретение материальных запасов 4. прочие услуги</t>
  </si>
  <si>
    <t>Мероприятие 1.3.2 "Обеспечение деятельности подведомственных учреждений (Центр поддержки одаренных детей)"</t>
  </si>
  <si>
    <t>Мероприятие 1.3.5. Выплата дополнительных мер социальной поддержки студентам, обучающимся в образовательных организациях высшего образования по договорам о целевом обучении</t>
  </si>
  <si>
    <t>32103 22680</t>
  </si>
  <si>
    <t>Иные выплаты текущего характера физическим лицам</t>
  </si>
  <si>
    <t>Мероптиятие 1.3.6.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</si>
  <si>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Мероприятие 1.3.4 "Обеспечение деятельности подведомственных учреждений (Муниципальное казенное учреждение "Центр психолого-педагогической, медицинской и социальной помощи "ГРАНИЦ.НЕТ")</t>
  </si>
  <si>
    <t>Мероприятие 1.10.2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(в том числе софинансирование с федеральным бюджетом)"</t>
  </si>
  <si>
    <t xml:space="preserve">                           реализации муниципальной программы </t>
  </si>
  <si>
    <t>Аренда жилого помещения  для педагогических работников</t>
  </si>
  <si>
    <t>Объемы бюджетных ассигнований</t>
  </si>
  <si>
    <t>Управление образования Администрации Усть-Абаканского муниципального района Республики Хакасия (далее-Управление образование)</t>
  </si>
  <si>
    <t>Управление ЖКХ и строительства Администрации Усть-Абаканского муниципального района Республики Хакасия (далее-Управление ЖКХ и строительства)</t>
  </si>
  <si>
    <t>УКМПСТ Администрации Усть-Абаканского муниципального района Республики Хакасия (далее- УКМПСТ)</t>
  </si>
  <si>
    <t xml:space="preserve">Мероприятие 1.2.21 "Возмещение расходов по оплате аренды жилого помещения для педагогических работников"
</t>
  </si>
  <si>
    <t>2026- строительный контроль по капитальному ремонту здания МБДОУ "ДС "Звездочка"; разработка ПСД на на кпитальный ремонт здания, ведение в гос.эксепртизе (кап.ремонт) МБДОУ "ДС "Родничок" ; госэкспертиза ПСД на кап.ремонт здания  МБДОУ "ДС "Родничок";                                   2028 - разработка ПСД на капитальный ремонт здания, ведение в гос.экспертизе. Госэкспертиза МБДОУ "ЦРР-ДС"Аленушка"</t>
  </si>
  <si>
    <r>
      <t>2023-</t>
    </r>
    <r>
      <rPr>
        <sz val="11"/>
        <rFont val="Times New Roman"/>
        <family val="1"/>
        <charset val="204"/>
      </rPr>
      <t xml:space="preserve"> Разработка проектной документации на капитальный ремонт  кровли МБОУ "Доможаковская СОШ им. Н.Г. Доможакова"; 2025-экспертиза сметной стоимости капитального ремонта здания МБОУ «Усть-Абаканская СОШ (корпус № 2)»; 2026 - разработка ПСД на капитальный ремонт здания, ведение в гос.экспертизе МБОУ "Усть-Абаканская СОШ им.М.Е. Орлова" ;  гос.экспертиза ПСД на кап.ремонт МБОУ "Усть-Абаканская СОШ им.М.Е. Орлова" ; строительный контроль МБОУ "Усть-Абаканская СОШ им.М.Е. Орлова"  ; строительный контроль МБОУ "Усть-Бюрская СОШ" ; разработка ПСД на капитальный ремонт здания, ведение в гос.экспертизе МБОУ "Сапоговская СОШ" (1 корпус); гос.эксертиза ПСД на капитальный ремонт корп.1 МБОУ "Сапоговская СОШ"; госэкспертиза ПСД на капитальный ремонт МБОУ "Расцветская СОШ"; разработка ПСД на капитальный ремонт здания, ведение в гос.экспертизе МБОУ "Расцветская СОШ" ;  2027 - разработка ПСД на капитальный ремонт здания, ведение в гос.экспертизе МБОУ "Усть-Абаканская СОШ им.М.Е. Орлова" (начальная школа);  гос.экспертиза ПСД на кап.ремонт МБОУ "Усть-Абаканская СОШ им.М.Е. Орлова" (начальная школа) ;разработка ПСД на капитальный ремонт здания, ведение в гос.экспертизе МБОУ "Московская СОШ" ; гос.экспертиза ПСД на кап.ремонт МБОУ "Московская СОШ"; гос.экспертиза ПСД на кап.ремонт МБОУ "Опытненская СОШ";разработка ПСД на капитальный ремонт здания, ведение в гос.экспертизе МБОУ "Опытненская СОШ" ; </t>
    </r>
  </si>
  <si>
    <t>2028 - разработка ПСД на капитальный ремонт здания, ведение в гос.экспертизе МБОУ "Усть-Абаканская СОШ им.М.Е. Орлова" (корп.3);  гос.экспертиза ПСД на кап.ремонт МБОУ "Усть-Абаканская СОШ им.М.Е. Орлова" (корп.3)</t>
  </si>
  <si>
    <t>от 30.12.2025   № 1273 - п</t>
  </si>
</sst>
</file>

<file path=xl/styles.xml><?xml version="1.0" encoding="utf-8"?>
<styleSheet xmlns="http://schemas.openxmlformats.org/spreadsheetml/2006/main">
  <numFmts count="1">
    <numFmt numFmtId="43" formatCode="_-* #,##0.00\ _₽_-;\-* #,##0.00\ _₽_-;_-* &quot;-&quot;??\ _₽_-;_-@_-"/>
  </numFmts>
  <fonts count="17">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theme="1"/>
      <name val="Calibri"/>
      <family val="2"/>
      <charset val="204"/>
      <scheme val="minor"/>
    </font>
    <font>
      <sz val="12"/>
      <name val="Calibri"/>
      <family val="2"/>
      <charset val="204"/>
      <scheme val="minor"/>
    </font>
    <font>
      <sz val="12"/>
      <color indexed="8"/>
      <name val="Times New Roman"/>
      <family val="1"/>
      <charset val="204"/>
    </font>
    <font>
      <sz val="11"/>
      <color theme="1"/>
      <name val="Times New Roman"/>
      <family val="1"/>
      <charset val="204"/>
    </font>
    <font>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2" fillId="0" borderId="0" applyFont="0" applyFill="0" applyBorder="0" applyAlignment="0" applyProtection="0"/>
  </cellStyleXfs>
  <cellXfs count="210">
    <xf numFmtId="0" fontId="0" fillId="0" borderId="0" xfId="0"/>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top" wrapText="1"/>
    </xf>
    <xf numFmtId="0" fontId="3" fillId="0" borderId="1" xfId="0" applyFont="1" applyBorder="1" applyAlignment="1">
      <alignment horizontal="left" vertical="top"/>
    </xf>
    <xf numFmtId="49" fontId="1" fillId="0" borderId="1" xfId="0" applyNumberFormat="1" applyFont="1" applyBorder="1" applyAlignment="1">
      <alignment horizontal="left"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 fillId="0" borderId="1" xfId="0" applyFont="1" applyBorder="1" applyAlignment="1">
      <alignment horizontal="left" vertical="top"/>
    </xf>
    <xf numFmtId="0" fontId="9" fillId="0" borderId="1" xfId="0" applyFont="1" applyBorder="1" applyAlignment="1">
      <alignment horizontal="left" vertical="top" wrapText="1"/>
    </xf>
    <xf numFmtId="49" fontId="1" fillId="0" borderId="2" xfId="0" applyNumberFormat="1" applyFont="1" applyBorder="1" applyAlignment="1">
      <alignment horizontal="center" vertical="top" wrapText="1"/>
    </xf>
    <xf numFmtId="0" fontId="1"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xf>
    <xf numFmtId="4" fontId="2" fillId="0" borderId="1" xfId="0" applyNumberFormat="1" applyFont="1" applyBorder="1" applyAlignment="1">
      <alignment horizontal="right" vertical="top" wrapText="1" indent="1"/>
    </xf>
    <xf numFmtId="0" fontId="7" fillId="0" borderId="1" xfId="0" applyFont="1" applyBorder="1" applyAlignment="1">
      <alignment vertical="top" wrapText="1"/>
    </xf>
    <xf numFmtId="4" fontId="4" fillId="0" borderId="1" xfId="0" applyNumberFormat="1" applyFont="1" applyBorder="1" applyAlignment="1">
      <alignment horizontal="right" vertical="top" wrapText="1" indent="1"/>
    </xf>
    <xf numFmtId="1" fontId="1" fillId="0" borderId="1" xfId="0" applyNumberFormat="1" applyFont="1" applyBorder="1" applyAlignment="1">
      <alignment horizontal="center" vertical="center"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0" xfId="0" applyFont="1"/>
    <xf numFmtId="0" fontId="1" fillId="0" borderId="0" xfId="0" applyFont="1" applyAlignment="1">
      <alignment horizontal="left" vertical="top" wrapText="1"/>
    </xf>
    <xf numFmtId="0" fontId="1" fillId="0" borderId="0" xfId="0" applyFont="1" applyAlignment="1">
      <alignment horizontal="center" vertical="top" wrapText="1"/>
    </xf>
    <xf numFmtId="49" fontId="1" fillId="0" borderId="0" xfId="0" applyNumberFormat="1" applyFont="1" applyAlignment="1">
      <alignment horizontal="center" vertical="top" wrapText="1"/>
    </xf>
    <xf numFmtId="4" fontId="1" fillId="0" borderId="0" xfId="0" applyNumberFormat="1" applyFont="1" applyAlignment="1">
      <alignment horizontal="right" vertical="top" wrapText="1" indent="1"/>
    </xf>
    <xf numFmtId="0" fontId="1" fillId="0" borderId="2" xfId="0" applyFont="1" applyBorder="1" applyAlignment="1">
      <alignment horizontal="left" vertical="top"/>
    </xf>
    <xf numFmtId="49" fontId="1" fillId="0" borderId="0" xfId="0" applyNumberFormat="1" applyFont="1"/>
    <xf numFmtId="0" fontId="1" fillId="0" borderId="0" xfId="0" applyFont="1" applyAlignment="1">
      <alignment horizontal="center"/>
    </xf>
    <xf numFmtId="4" fontId="1" fillId="0" borderId="0" xfId="0"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3" fillId="0" borderId="0" xfId="0" applyFont="1"/>
    <xf numFmtId="49" fontId="3" fillId="0" borderId="0" xfId="0" applyNumberFormat="1" applyFont="1"/>
    <xf numFmtId="0" fontId="3" fillId="0" borderId="0" xfId="0" applyFont="1" applyAlignment="1">
      <alignment horizontal="center"/>
    </xf>
    <xf numFmtId="4" fontId="3" fillId="0" borderId="0" xfId="0" applyNumberFormat="1" applyFont="1" applyAlignment="1">
      <alignment horizontal="right"/>
    </xf>
    <xf numFmtId="4" fontId="3" fillId="0" borderId="0" xfId="0" applyNumberFormat="1" applyFont="1"/>
    <xf numFmtId="43" fontId="3" fillId="0" borderId="0" xfId="0" applyNumberFormat="1" applyFont="1"/>
    <xf numFmtId="0" fontId="1" fillId="0" borderId="1" xfId="0" applyFont="1" applyBorder="1" applyAlignment="1">
      <alignment horizontal="center" vertical="top"/>
    </xf>
    <xf numFmtId="49" fontId="1" fillId="0" borderId="1" xfId="0" applyNumberFormat="1" applyFont="1" applyBorder="1" applyAlignment="1">
      <alignment horizontal="center" vertical="top"/>
    </xf>
    <xf numFmtId="0" fontId="1" fillId="0" borderId="1" xfId="0" applyFont="1" applyBorder="1"/>
    <xf numFmtId="0" fontId="3" fillId="0" borderId="1" xfId="0" applyFont="1" applyBorder="1"/>
    <xf numFmtId="0" fontId="3" fillId="0" borderId="1" xfId="0" applyFont="1" applyBorder="1" applyAlignment="1">
      <alignment horizontal="center" vertical="top"/>
    </xf>
    <xf numFmtId="0" fontId="3" fillId="0" borderId="0" xfId="0" applyFont="1" applyAlignment="1">
      <alignment wrapText="1"/>
    </xf>
    <xf numFmtId="0" fontId="3" fillId="0" borderId="0" xfId="0" applyFont="1" applyAlignment="1">
      <alignment horizontal="lef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1" fillId="0" borderId="0" xfId="0" applyFont="1" applyAlignment="1">
      <alignment horizontal="right" vertical="top"/>
    </xf>
    <xf numFmtId="0" fontId="1" fillId="0" borderId="0" xfId="0" applyFont="1" applyAlignment="1">
      <alignment horizontal="left" vertical="center"/>
    </xf>
    <xf numFmtId="4" fontId="11" fillId="0" borderId="1" xfId="0" applyNumberFormat="1" applyFont="1" applyBorder="1" applyAlignment="1">
      <alignment horizontal="right" vertical="top" wrapText="1" indent="1"/>
    </xf>
    <xf numFmtId="43" fontId="1" fillId="0" borderId="1" xfId="1" applyFont="1" applyFill="1" applyBorder="1" applyAlignment="1">
      <alignment horizontal="right" vertical="top"/>
    </xf>
    <xf numFmtId="4" fontId="9" fillId="0" borderId="0" xfId="0" applyNumberFormat="1" applyFont="1" applyAlignment="1">
      <alignment horizontal="right"/>
    </xf>
    <xf numFmtId="0" fontId="9" fillId="0" borderId="0" xfId="0" applyFont="1" applyAlignment="1">
      <alignment horizontal="right"/>
    </xf>
    <xf numFmtId="4" fontId="10" fillId="0" borderId="1" xfId="0" applyNumberFormat="1" applyFont="1" applyBorder="1" applyAlignment="1">
      <alignment horizontal="right" vertical="top" wrapText="1" indent="1"/>
    </xf>
    <xf numFmtId="4" fontId="9" fillId="0" borderId="0" xfId="0" applyNumberFormat="1" applyFont="1" applyAlignment="1">
      <alignment horizontal="right" vertical="top" wrapText="1" indent="1"/>
    </xf>
    <xf numFmtId="4" fontId="13" fillId="0" borderId="0" xfId="0" applyNumberFormat="1" applyFont="1" applyAlignment="1">
      <alignment horizontal="right" vertical="top"/>
    </xf>
    <xf numFmtId="0" fontId="9" fillId="0" borderId="0" xfId="0" applyFont="1"/>
    <xf numFmtId="4" fontId="13" fillId="0" borderId="0" xfId="0" applyNumberFormat="1" applyFont="1" applyAlignment="1">
      <alignment horizontal="righ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applyAlignment="1">
      <alignment horizontal="left"/>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 fontId="1" fillId="0" borderId="1" xfId="0" applyNumberFormat="1" applyFont="1" applyBorder="1" applyAlignment="1">
      <alignment horizontal="right" vertical="top" wrapText="1" indent="1"/>
    </xf>
    <xf numFmtId="4" fontId="9" fillId="0" borderId="1" xfId="0" applyNumberFormat="1" applyFont="1" applyBorder="1" applyAlignment="1">
      <alignment horizontal="right" vertical="top" wrapText="1" indent="1"/>
    </xf>
    <xf numFmtId="0" fontId="9" fillId="0" borderId="1" xfId="0" applyFont="1" applyBorder="1" applyAlignment="1">
      <alignment vertical="top" wrapText="1"/>
    </xf>
    <xf numFmtId="0" fontId="9" fillId="2" borderId="1" xfId="0" applyFont="1" applyFill="1" applyBorder="1" applyAlignment="1">
      <alignment vertical="top" wrapText="1"/>
    </xf>
    <xf numFmtId="4" fontId="1" fillId="2" borderId="1" xfId="0" applyNumberFormat="1" applyFont="1" applyFill="1" applyBorder="1" applyAlignment="1">
      <alignment horizontal="right" vertical="top" wrapText="1" indent="1"/>
    </xf>
    <xf numFmtId="0" fontId="1" fillId="0" borderId="0" xfId="0" applyFont="1" applyAlignment="1">
      <alignment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top" wrapText="1"/>
    </xf>
    <xf numFmtId="49" fontId="1" fillId="2" borderId="1" xfId="0" applyNumberFormat="1" applyFont="1" applyFill="1" applyBorder="1" applyAlignment="1">
      <alignment horizontal="center" vertical="top" wrapText="1"/>
    </xf>
    <xf numFmtId="4" fontId="9" fillId="2" borderId="1" xfId="0" applyNumberFormat="1" applyFont="1" applyFill="1" applyBorder="1" applyAlignment="1">
      <alignment horizontal="right" vertical="top" wrapText="1" indent="1"/>
    </xf>
    <xf numFmtId="0" fontId="1" fillId="2" borderId="4" xfId="0" applyFont="1" applyFill="1" applyBorder="1" applyAlignment="1">
      <alignment horizontal="center" vertical="top" wrapText="1"/>
    </xf>
    <xf numFmtId="0" fontId="3" fillId="2" borderId="0" xfId="0" applyFont="1" applyFill="1"/>
    <xf numFmtId="0" fontId="1" fillId="2" borderId="1" xfId="0" applyFont="1" applyFill="1" applyBorder="1" applyAlignment="1">
      <alignmen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49" fontId="4" fillId="2" borderId="1" xfId="0" applyNumberFormat="1" applyFont="1" applyFill="1" applyBorder="1" applyAlignment="1">
      <alignment horizontal="center" vertical="top" wrapText="1"/>
    </xf>
    <xf numFmtId="4" fontId="10" fillId="2" borderId="1" xfId="0" applyNumberFormat="1" applyFont="1" applyFill="1" applyBorder="1" applyAlignment="1">
      <alignment horizontal="right" vertical="top" wrapText="1" indent="1"/>
    </xf>
    <xf numFmtId="0" fontId="3" fillId="2" borderId="0" xfId="0" applyFont="1" applyFill="1" applyAlignment="1">
      <alignment horizontal="left"/>
    </xf>
    <xf numFmtId="0" fontId="1" fillId="2" borderId="1" xfId="0" applyNumberFormat="1" applyFont="1" applyFill="1" applyBorder="1" applyAlignment="1">
      <alignment horizontal="center" vertical="top" wrapText="1"/>
    </xf>
    <xf numFmtId="0" fontId="1" fillId="0" borderId="4" xfId="0" applyFont="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2" borderId="1" xfId="0" applyFont="1" applyFill="1" applyBorder="1" applyAlignment="1">
      <alignment horizontal="left" vertical="top" wrapText="1"/>
    </xf>
    <xf numFmtId="43" fontId="1" fillId="0" borderId="1" xfId="1" applyFont="1" applyBorder="1"/>
    <xf numFmtId="0" fontId="1" fillId="2" borderId="2" xfId="0" applyFont="1" applyFill="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horizontal="left"/>
    </xf>
    <xf numFmtId="0" fontId="1"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 fillId="2" borderId="3" xfId="0" applyFont="1" applyFill="1" applyBorder="1" applyAlignment="1">
      <alignment vertical="top" wrapText="1"/>
    </xf>
    <xf numFmtId="0" fontId="4" fillId="2" borderId="4" xfId="0" applyFont="1" applyFill="1" applyBorder="1" applyAlignment="1">
      <alignment horizontal="left" vertical="top" wrapText="1"/>
    </xf>
    <xf numFmtId="0" fontId="4" fillId="2" borderId="1" xfId="0" applyFont="1" applyFill="1" applyBorder="1" applyAlignment="1">
      <alignment vertical="top" wrapText="1"/>
    </xf>
    <xf numFmtId="0" fontId="4" fillId="2" borderId="3" xfId="0" applyFont="1" applyFill="1" applyBorder="1" applyAlignment="1">
      <alignment horizontal="left" vertical="top" wrapText="1"/>
    </xf>
    <xf numFmtId="0" fontId="1" fillId="2" borderId="0" xfId="0" applyFont="1" applyFill="1" applyAlignment="1">
      <alignment horizontal="left" vertical="top" wrapText="1"/>
    </xf>
    <xf numFmtId="0" fontId="3" fillId="2" borderId="0" xfId="0" applyFont="1" applyFill="1" applyAlignment="1">
      <alignment horizontal="left" vertical="top"/>
    </xf>
    <xf numFmtId="0" fontId="1" fillId="0" borderId="0" xfId="0" applyFont="1" applyAlignment="1">
      <alignment horizontal="left"/>
    </xf>
    <xf numFmtId="0" fontId="1" fillId="2" borderId="1" xfId="0" applyFont="1" applyFill="1" applyBorder="1" applyAlignment="1">
      <alignment horizontal="left" vertical="top" wrapText="1"/>
    </xf>
    <xf numFmtId="0" fontId="3" fillId="2" borderId="1" xfId="0" applyFont="1" applyFill="1" applyBorder="1"/>
    <xf numFmtId="0" fontId="14" fillId="2" borderId="1" xfId="0" applyFont="1" applyFill="1" applyBorder="1" applyAlignment="1">
      <alignment vertical="top" wrapText="1"/>
    </xf>
    <xf numFmtId="0" fontId="1" fillId="0" borderId="4" xfId="0" applyFont="1" applyBorder="1" applyAlignment="1">
      <alignment horizontal="center"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2" fontId="1"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1" fillId="0" borderId="1" xfId="1"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2" fontId="1" fillId="0" borderId="2" xfId="1" applyNumberFormat="1" applyFont="1" applyFill="1" applyBorder="1" applyAlignment="1">
      <alignment horizontal="center" vertical="center"/>
    </xf>
    <xf numFmtId="2" fontId="1" fillId="0" borderId="4" xfId="1" applyNumberFormat="1" applyFont="1" applyFill="1" applyBorder="1" applyAlignment="1">
      <alignment horizontal="center" vertical="center"/>
    </xf>
    <xf numFmtId="4" fontId="1" fillId="0" borderId="1" xfId="1" applyNumberFormat="1" applyFont="1" applyFill="1" applyBorder="1" applyAlignment="1">
      <alignment horizontal="center" vertical="center"/>
    </xf>
    <xf numFmtId="4" fontId="1" fillId="3" borderId="0" xfId="0" applyNumberFormat="1" applyFont="1" applyFill="1" applyAlignment="1">
      <alignment horizontal="right"/>
    </xf>
    <xf numFmtId="0" fontId="1" fillId="3" borderId="0" xfId="0" applyFont="1" applyFill="1" applyAlignment="1">
      <alignment horizontal="right"/>
    </xf>
    <xf numFmtId="4" fontId="1" fillId="3" borderId="1" xfId="0" applyNumberFormat="1" applyFont="1" applyFill="1" applyBorder="1" applyAlignment="1">
      <alignment horizontal="right" vertical="top" wrapText="1" indent="1"/>
    </xf>
    <xf numFmtId="4" fontId="3" fillId="3" borderId="0" xfId="0" applyNumberFormat="1" applyFont="1" applyFill="1" applyAlignment="1">
      <alignment horizontal="right"/>
    </xf>
    <xf numFmtId="0" fontId="1" fillId="3" borderId="0" xfId="0" applyFont="1" applyFill="1"/>
    <xf numFmtId="4" fontId="1" fillId="0" borderId="0" xfId="0" applyNumberFormat="1" applyFont="1" applyFill="1" applyAlignment="1">
      <alignment horizontal="right"/>
    </xf>
    <xf numFmtId="0" fontId="1" fillId="0" borderId="0" xfId="0" applyFont="1" applyFill="1" applyAlignment="1">
      <alignment horizontal="right"/>
    </xf>
    <xf numFmtId="4" fontId="3" fillId="0" borderId="5" xfId="0" applyNumberFormat="1" applyFont="1" applyFill="1" applyBorder="1" applyAlignment="1">
      <alignment horizontal="center"/>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4" fontId="1" fillId="0" borderId="1" xfId="0" applyNumberFormat="1" applyFont="1" applyFill="1" applyBorder="1" applyAlignment="1">
      <alignment horizontal="right" vertical="top" wrapText="1" indent="1"/>
    </xf>
    <xf numFmtId="4" fontId="2" fillId="0" borderId="1" xfId="0" applyNumberFormat="1" applyFont="1" applyFill="1" applyBorder="1" applyAlignment="1">
      <alignment horizontal="right" vertical="top" wrapText="1" indent="1"/>
    </xf>
    <xf numFmtId="4" fontId="4" fillId="0" borderId="1" xfId="0" applyNumberFormat="1" applyFont="1" applyFill="1" applyBorder="1" applyAlignment="1">
      <alignment horizontal="right" vertical="top" wrapText="1" indent="1"/>
    </xf>
    <xf numFmtId="2" fontId="1"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top" wrapText="1"/>
    </xf>
    <xf numFmtId="4" fontId="9" fillId="0" borderId="1" xfId="0" applyNumberFormat="1" applyFont="1" applyFill="1" applyBorder="1" applyAlignment="1">
      <alignment horizontal="right" vertical="top" wrapText="1" indent="1"/>
    </xf>
    <xf numFmtId="4" fontId="11" fillId="0" borderId="1" xfId="0" applyNumberFormat="1" applyFont="1" applyFill="1" applyBorder="1" applyAlignment="1">
      <alignment horizontal="right" vertical="top" wrapText="1" indent="1"/>
    </xf>
    <xf numFmtId="2" fontId="1" fillId="0" borderId="1" xfId="0" applyNumberFormat="1" applyFont="1" applyFill="1" applyBorder="1" applyAlignment="1">
      <alignment vertical="center"/>
    </xf>
    <xf numFmtId="4" fontId="1" fillId="0" borderId="0" xfId="0" applyNumberFormat="1" applyFont="1" applyFill="1" applyAlignment="1">
      <alignment horizontal="right" vertical="top" wrapText="1" indent="1"/>
    </xf>
    <xf numFmtId="4" fontId="3" fillId="0" borderId="0" xfId="0" applyNumberFormat="1" applyFont="1" applyFill="1" applyAlignment="1">
      <alignment horizontal="right" vertical="top"/>
    </xf>
    <xf numFmtId="4" fontId="3" fillId="0" borderId="0" xfId="0" applyNumberFormat="1" applyFont="1" applyFill="1" applyAlignment="1">
      <alignment horizontal="right"/>
    </xf>
    <xf numFmtId="0" fontId="1" fillId="0" borderId="0" xfId="0" applyFont="1" applyFill="1"/>
    <xf numFmtId="4" fontId="1" fillId="3" borderId="2" xfId="0" applyNumberFormat="1" applyFont="1" applyFill="1" applyBorder="1" applyAlignment="1">
      <alignment horizontal="right" vertical="top" wrapText="1" indent="1"/>
    </xf>
    <xf numFmtId="4" fontId="1" fillId="3" borderId="3" xfId="0" applyNumberFormat="1" applyFont="1" applyFill="1" applyBorder="1" applyAlignment="1">
      <alignment horizontal="right" vertical="top" wrapText="1" indent="1"/>
    </xf>
    <xf numFmtId="4" fontId="1" fillId="3" borderId="4" xfId="0" applyNumberFormat="1" applyFont="1" applyFill="1" applyBorder="1" applyAlignment="1">
      <alignment horizontal="right" vertical="top" wrapText="1" indent="1"/>
    </xf>
    <xf numFmtId="4" fontId="9" fillId="0" borderId="1" xfId="0" applyNumberFormat="1" applyFont="1" applyBorder="1" applyAlignment="1">
      <alignment horizontal="center" vertical="center" wrapText="1"/>
    </xf>
    <xf numFmtId="4" fontId="9" fillId="0" borderId="1" xfId="0" applyNumberFormat="1" applyFont="1" applyFill="1" applyBorder="1" applyAlignment="1">
      <alignment horizontal="center" vertical="center" wrapText="1"/>
    </xf>
    <xf numFmtId="4" fontId="1" fillId="0" borderId="4" xfId="0" applyNumberFormat="1" applyFont="1" applyFill="1" applyBorder="1" applyAlignment="1">
      <alignment horizontal="right" vertical="top" wrapText="1" indent="1"/>
    </xf>
    <xf numFmtId="4" fontId="1" fillId="0" borderId="2" xfId="0" applyNumberFormat="1" applyFont="1" applyFill="1" applyBorder="1" applyAlignment="1">
      <alignment horizontal="right" vertical="top" wrapText="1" indent="1"/>
    </xf>
    <xf numFmtId="4" fontId="10" fillId="0" borderId="1" xfId="0" applyNumberFormat="1" applyFont="1" applyFill="1" applyBorder="1" applyAlignment="1">
      <alignment horizontal="right" vertical="top" wrapText="1" indent="1"/>
    </xf>
    <xf numFmtId="4" fontId="1" fillId="0" borderId="3" xfId="0" applyNumberFormat="1" applyFont="1" applyFill="1" applyBorder="1" applyAlignment="1">
      <alignment horizontal="right" vertical="top" wrapText="1" indent="1"/>
    </xf>
    <xf numFmtId="4" fontId="13" fillId="0" borderId="5" xfId="0" applyNumberFormat="1" applyFont="1" applyFill="1" applyBorder="1" applyAlignment="1">
      <alignment horizontal="center"/>
    </xf>
    <xf numFmtId="1" fontId="9"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right" vertical="top" wrapText="1" indent="1"/>
    </xf>
    <xf numFmtId="2" fontId="1"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top" wrapText="1"/>
    </xf>
    <xf numFmtId="0" fontId="1" fillId="0" borderId="1" xfId="0" applyFont="1" applyBorder="1" applyAlignment="1">
      <alignment horizontal="left" vertical="top" wrapText="1"/>
    </xf>
    <xf numFmtId="43" fontId="1" fillId="2" borderId="1" xfId="1" applyFont="1" applyFill="1" applyBorder="1" applyAlignment="1">
      <alignment horizontal="right" vertical="top"/>
    </xf>
    <xf numFmtId="0" fontId="15" fillId="0" borderId="1" xfId="0" applyFont="1" applyBorder="1" applyAlignment="1">
      <alignment horizontal="left" vertical="top" wrapText="1"/>
    </xf>
    <xf numFmtId="4" fontId="1" fillId="0" borderId="2" xfId="0" applyNumberFormat="1" applyFont="1" applyFill="1" applyBorder="1" applyAlignment="1">
      <alignment vertical="top" wrapText="1"/>
    </xf>
    <xf numFmtId="4" fontId="1" fillId="0" borderId="3" xfId="0" applyNumberFormat="1" applyFont="1" applyFill="1" applyBorder="1" applyAlignment="1">
      <alignment vertical="top" wrapText="1"/>
    </xf>
    <xf numFmtId="4" fontId="1" fillId="0" borderId="4" xfId="0" applyNumberFormat="1" applyFont="1" applyFill="1" applyBorder="1" applyAlignment="1">
      <alignment vertical="top" wrapText="1"/>
    </xf>
    <xf numFmtId="4" fontId="9" fillId="0" borderId="2" xfId="0" applyNumberFormat="1" applyFont="1" applyFill="1" applyBorder="1" applyAlignment="1">
      <alignment vertical="top" wrapText="1"/>
    </xf>
    <xf numFmtId="4" fontId="9" fillId="0" borderId="3" xfId="0" applyNumberFormat="1" applyFont="1" applyFill="1" applyBorder="1" applyAlignment="1">
      <alignment vertical="top" wrapText="1"/>
    </xf>
    <xf numFmtId="4" fontId="9" fillId="0" borderId="4" xfId="0" applyNumberFormat="1" applyFont="1" applyFill="1" applyBorder="1" applyAlignment="1">
      <alignment vertical="top" wrapText="1"/>
    </xf>
    <xf numFmtId="0" fontId="1" fillId="0" borderId="1" xfId="0" applyFont="1" applyBorder="1" applyAlignment="1">
      <alignment horizontal="left" wrapText="1"/>
    </xf>
    <xf numFmtId="0" fontId="1"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2" borderId="3" xfId="0" applyFont="1" applyFill="1" applyBorder="1" applyAlignment="1">
      <alignment horizontal="left" vertical="top" wrapText="1"/>
    </xf>
    <xf numFmtId="0" fontId="2" fillId="2" borderId="1" xfId="0" applyFont="1" applyFill="1" applyBorder="1" applyAlignment="1">
      <alignment horizontal="left" vertical="top" wrapText="1"/>
    </xf>
    <xf numFmtId="0" fontId="1" fillId="0" borderId="0" xfId="0" applyFont="1" applyAlignment="1">
      <alignment horizontal="left"/>
    </xf>
    <xf numFmtId="0" fontId="2"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top" wrapText="1"/>
    </xf>
    <xf numFmtId="0" fontId="1" fillId="0" borderId="1" xfId="0" applyFont="1" applyBorder="1" applyAlignment="1">
      <alignment horizontal="center" vertical="center" wrapText="1"/>
    </xf>
    <xf numFmtId="4" fontId="2" fillId="0" borderId="0" xfId="0" applyNumberFormat="1" applyFont="1" applyAlignment="1">
      <alignment horizont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65"/>
  <sheetViews>
    <sheetView tabSelected="1" view="pageBreakPreview" topLeftCell="A9" zoomScale="80" zoomScaleNormal="80" zoomScaleSheetLayoutView="80" workbookViewId="0">
      <selection activeCell="B13" sqref="B13"/>
    </sheetView>
  </sheetViews>
  <sheetFormatPr defaultColWidth="9.140625" defaultRowHeight="15.75"/>
  <cols>
    <col min="1" max="1" width="49.140625" style="94" customWidth="1"/>
    <col min="2" max="2" width="38.140625" style="34" customWidth="1"/>
    <col min="3" max="4" width="9.140625" style="35" hidden="1" customWidth="1"/>
    <col min="5" max="5" width="16.85546875" style="36" hidden="1" customWidth="1"/>
    <col min="6" max="6" width="0.140625" style="37" customWidth="1"/>
    <col min="7" max="7" width="20" style="38" customWidth="1"/>
    <col min="8" max="8" width="21.140625" style="62" customWidth="1"/>
    <col min="9" max="9" width="22.140625" style="151" customWidth="1"/>
    <col min="10" max="10" width="22.5703125" style="134" customWidth="1"/>
    <col min="11" max="12" width="22.140625" style="134" customWidth="1"/>
    <col min="13" max="13" width="63" style="34" customWidth="1"/>
    <col min="14" max="14" width="16" style="34" hidden="1" customWidth="1"/>
    <col min="15" max="15" width="16.42578125" style="35" customWidth="1"/>
    <col min="16" max="16" width="22.42578125" style="35" customWidth="1"/>
    <col min="17" max="17" width="25.42578125" style="35" customWidth="1"/>
    <col min="18" max="18" width="19.140625" style="35" customWidth="1"/>
    <col min="19" max="19" width="22.140625" style="35" customWidth="1"/>
    <col min="20" max="20" width="16.7109375" style="35" customWidth="1"/>
    <col min="21" max="16384" width="9.140625" style="35"/>
  </cols>
  <sheetData>
    <row r="1" spans="1:14" s="24" customFormat="1" hidden="1">
      <c r="A1" s="105"/>
      <c r="B1" s="66"/>
      <c r="E1" s="30"/>
      <c r="F1" s="31"/>
      <c r="G1" s="32"/>
      <c r="H1" s="56"/>
      <c r="I1" s="136"/>
      <c r="J1" s="131"/>
      <c r="K1" s="131"/>
      <c r="L1" s="131"/>
      <c r="M1" s="189" t="s">
        <v>50</v>
      </c>
      <c r="N1" s="189"/>
    </row>
    <row r="2" spans="1:14" s="24" customFormat="1" hidden="1">
      <c r="A2" s="105"/>
      <c r="B2" s="66"/>
      <c r="E2" s="30"/>
      <c r="F2" s="31"/>
      <c r="G2" s="32"/>
      <c r="H2" s="56"/>
      <c r="I2" s="136"/>
      <c r="J2" s="131"/>
      <c r="K2" s="131"/>
      <c r="L2" s="131"/>
      <c r="M2" s="24" t="s">
        <v>297</v>
      </c>
    </row>
    <row r="3" spans="1:14" s="24" customFormat="1" ht="16.5" hidden="1" customHeight="1">
      <c r="A3" s="105"/>
      <c r="B3" s="66"/>
      <c r="E3" s="30"/>
      <c r="F3" s="31"/>
      <c r="G3" s="33"/>
      <c r="H3" s="57"/>
      <c r="I3" s="137"/>
      <c r="J3" s="132"/>
      <c r="K3" s="132"/>
      <c r="L3" s="132"/>
      <c r="M3" s="77" t="s">
        <v>296</v>
      </c>
      <c r="N3" s="77"/>
    </row>
    <row r="4" spans="1:14" s="24" customFormat="1" hidden="1">
      <c r="A4" s="105"/>
      <c r="B4" s="66"/>
      <c r="E4" s="30"/>
      <c r="F4" s="31"/>
      <c r="G4" s="33"/>
      <c r="H4" s="57"/>
      <c r="I4" s="137"/>
      <c r="J4" s="132"/>
      <c r="K4" s="132"/>
      <c r="L4" s="132"/>
      <c r="M4" s="189" t="s">
        <v>295</v>
      </c>
      <c r="N4" s="189"/>
    </row>
    <row r="5" spans="1:14" s="24" customFormat="1" hidden="1">
      <c r="A5" s="105"/>
      <c r="B5" s="66"/>
      <c r="E5" s="30"/>
      <c r="F5" s="31"/>
      <c r="G5" s="33"/>
      <c r="H5" s="57"/>
      <c r="I5" s="137"/>
      <c r="J5" s="132"/>
      <c r="K5" s="132"/>
      <c r="L5" s="132"/>
      <c r="M5" s="66"/>
      <c r="N5" s="66"/>
    </row>
    <row r="6" spans="1:14" s="24" customFormat="1" ht="19.5" hidden="1" customHeight="1">
      <c r="A6" s="105" t="s">
        <v>184</v>
      </c>
      <c r="B6" s="66"/>
      <c r="E6" s="30"/>
      <c r="F6" s="31"/>
      <c r="G6" s="33"/>
      <c r="H6" s="57"/>
      <c r="I6" s="137"/>
      <c r="J6" s="132"/>
      <c r="K6" s="132"/>
      <c r="L6" s="132"/>
      <c r="M6" s="191" t="s">
        <v>183</v>
      </c>
      <c r="N6" s="191"/>
    </row>
    <row r="7" spans="1:14" s="24" customFormat="1" ht="40.5" hidden="1" customHeight="1">
      <c r="A7" s="105"/>
      <c r="B7" s="66"/>
      <c r="E7" s="30"/>
      <c r="F7" s="31"/>
      <c r="G7" s="33"/>
      <c r="H7" s="57"/>
      <c r="I7" s="137"/>
      <c r="J7" s="132"/>
      <c r="K7" s="132"/>
      <c r="L7" s="132"/>
      <c r="M7" s="192" t="s">
        <v>144</v>
      </c>
      <c r="N7" s="192"/>
    </row>
    <row r="8" spans="1:14" s="24" customFormat="1" hidden="1">
      <c r="A8" s="105"/>
      <c r="B8" s="66"/>
      <c r="E8" s="30"/>
      <c r="F8" s="31"/>
      <c r="G8" s="33"/>
      <c r="H8" s="57"/>
      <c r="I8" s="137"/>
      <c r="J8" s="132"/>
      <c r="K8" s="132"/>
      <c r="L8" s="132"/>
      <c r="M8" s="66"/>
      <c r="N8" s="66"/>
    </row>
    <row r="9" spans="1:14" s="24" customFormat="1">
      <c r="A9" s="105"/>
      <c r="B9" s="115"/>
      <c r="E9" s="30"/>
      <c r="F9" s="31"/>
      <c r="G9" s="33"/>
      <c r="H9" s="57"/>
      <c r="I9" s="137"/>
      <c r="J9" s="137"/>
      <c r="K9" s="137"/>
      <c r="L9" s="137"/>
      <c r="M9" s="189" t="s">
        <v>183</v>
      </c>
      <c r="N9" s="189"/>
    </row>
    <row r="10" spans="1:14" s="24" customFormat="1">
      <c r="A10" s="105"/>
      <c r="B10" s="115"/>
      <c r="E10" s="30"/>
      <c r="F10" s="31"/>
      <c r="G10" s="33"/>
      <c r="H10" s="57"/>
      <c r="I10" s="137"/>
      <c r="J10" s="137"/>
      <c r="K10" s="137"/>
      <c r="L10" s="137"/>
      <c r="M10" s="24" t="s">
        <v>297</v>
      </c>
    </row>
    <row r="11" spans="1:14" s="24" customFormat="1">
      <c r="A11" s="105"/>
      <c r="B11" s="115"/>
      <c r="E11" s="30"/>
      <c r="F11" s="31"/>
      <c r="G11" s="33"/>
      <c r="H11" s="57"/>
      <c r="I11" s="137"/>
      <c r="J11" s="137"/>
      <c r="K11" s="137"/>
      <c r="L11" s="137"/>
      <c r="M11" s="77" t="s">
        <v>296</v>
      </c>
      <c r="N11" s="77"/>
    </row>
    <row r="12" spans="1:14" s="24" customFormat="1">
      <c r="A12" s="105"/>
      <c r="B12" s="115"/>
      <c r="E12" s="30"/>
      <c r="F12" s="31"/>
      <c r="G12" s="33"/>
      <c r="H12" s="57"/>
      <c r="I12" s="137"/>
      <c r="J12" s="137"/>
      <c r="K12" s="137"/>
      <c r="L12" s="137"/>
      <c r="M12" s="189" t="s">
        <v>396</v>
      </c>
      <c r="N12" s="189"/>
    </row>
    <row r="13" spans="1:14" s="24" customFormat="1">
      <c r="A13" s="105"/>
      <c r="B13" s="115"/>
      <c r="E13" s="30"/>
      <c r="F13" s="31"/>
      <c r="G13" s="33"/>
      <c r="H13" s="57"/>
      <c r="I13" s="137"/>
      <c r="J13" s="137"/>
      <c r="K13" s="137"/>
      <c r="L13" s="137"/>
      <c r="M13" s="115"/>
      <c r="N13" s="115"/>
    </row>
    <row r="14" spans="1:14" s="24" customFormat="1">
      <c r="A14" s="105"/>
      <c r="B14" s="115"/>
      <c r="E14" s="30"/>
      <c r="F14" s="31"/>
      <c r="G14" s="33"/>
      <c r="H14" s="57"/>
      <c r="I14" s="137"/>
      <c r="J14" s="137"/>
      <c r="K14" s="137"/>
      <c r="L14" s="137"/>
      <c r="M14" s="191" t="s">
        <v>183</v>
      </c>
      <c r="N14" s="191"/>
    </row>
    <row r="15" spans="1:14" s="24" customFormat="1" ht="40.5" customHeight="1">
      <c r="A15" s="105"/>
      <c r="B15" s="115"/>
      <c r="E15" s="30"/>
      <c r="F15" s="31"/>
      <c r="G15" s="33"/>
      <c r="H15" s="57"/>
      <c r="I15" s="137"/>
      <c r="J15" s="137"/>
      <c r="K15" s="137"/>
      <c r="L15" s="137"/>
      <c r="M15" s="192" t="s">
        <v>144</v>
      </c>
      <c r="N15" s="192"/>
    </row>
    <row r="16" spans="1:14" s="24" customFormat="1" ht="27.75" customHeight="1">
      <c r="A16" s="190" t="s">
        <v>145</v>
      </c>
      <c r="B16" s="190"/>
      <c r="C16" s="190"/>
      <c r="D16" s="190"/>
      <c r="E16" s="190"/>
      <c r="F16" s="190"/>
      <c r="G16" s="190"/>
      <c r="H16" s="190"/>
      <c r="I16" s="190"/>
      <c r="J16" s="190"/>
      <c r="K16" s="190"/>
      <c r="L16" s="190"/>
      <c r="M16" s="190"/>
      <c r="N16" s="190"/>
    </row>
    <row r="17" spans="1:22">
      <c r="A17" s="194" t="s">
        <v>386</v>
      </c>
      <c r="B17" s="194"/>
      <c r="C17" s="194"/>
      <c r="D17" s="194"/>
      <c r="E17" s="194"/>
      <c r="F17" s="194"/>
      <c r="G17" s="194"/>
      <c r="H17" s="194"/>
      <c r="I17" s="194"/>
      <c r="J17" s="194"/>
      <c r="K17" s="194"/>
      <c r="L17" s="194"/>
      <c r="M17" s="194"/>
    </row>
    <row r="18" spans="1:22">
      <c r="G18" s="138"/>
      <c r="H18" s="162"/>
      <c r="I18" s="138"/>
      <c r="J18" s="138"/>
      <c r="K18" s="151"/>
      <c r="L18" s="151"/>
    </row>
    <row r="19" spans="1:22" ht="30" customHeight="1">
      <c r="A19" s="196" t="s">
        <v>185</v>
      </c>
      <c r="B19" s="193" t="s">
        <v>186</v>
      </c>
      <c r="C19" s="195" t="s">
        <v>0</v>
      </c>
      <c r="D19" s="195"/>
      <c r="E19" s="195"/>
      <c r="F19" s="195"/>
      <c r="G19" s="197" t="s">
        <v>388</v>
      </c>
      <c r="H19" s="198"/>
      <c r="I19" s="198"/>
      <c r="J19" s="198"/>
      <c r="K19" s="198"/>
      <c r="L19" s="199"/>
      <c r="M19" s="193" t="s">
        <v>31</v>
      </c>
      <c r="N19" s="193" t="s">
        <v>289</v>
      </c>
      <c r="Q19" s="39"/>
      <c r="R19" s="39"/>
      <c r="S19" s="39"/>
      <c r="T19" s="39"/>
    </row>
    <row r="20" spans="1:22" ht="44.25" customHeight="1">
      <c r="A20" s="196"/>
      <c r="B20" s="193"/>
      <c r="C20" s="65" t="s">
        <v>1</v>
      </c>
      <c r="D20" s="65" t="s">
        <v>2</v>
      </c>
      <c r="E20" s="2" t="s">
        <v>3</v>
      </c>
      <c r="F20" s="65" t="s">
        <v>4</v>
      </c>
      <c r="G20" s="139">
        <v>2023</v>
      </c>
      <c r="H20" s="163">
        <v>2024</v>
      </c>
      <c r="I20" s="139">
        <v>2025</v>
      </c>
      <c r="J20" s="139">
        <v>2026</v>
      </c>
      <c r="K20" s="139">
        <v>2027</v>
      </c>
      <c r="L20" s="139">
        <v>2028</v>
      </c>
      <c r="M20" s="193"/>
      <c r="N20" s="193"/>
    </row>
    <row r="21" spans="1:22" ht="16.5" customHeight="1">
      <c r="A21" s="106">
        <v>1</v>
      </c>
      <c r="B21" s="65">
        <v>2</v>
      </c>
      <c r="C21" s="65">
        <v>4</v>
      </c>
      <c r="D21" s="65">
        <v>5</v>
      </c>
      <c r="E21" s="2">
        <v>6</v>
      </c>
      <c r="F21" s="65">
        <v>7</v>
      </c>
      <c r="G21" s="139">
        <v>4</v>
      </c>
      <c r="H21" s="163">
        <v>5</v>
      </c>
      <c r="I21" s="139">
        <v>6</v>
      </c>
      <c r="J21" s="139">
        <v>7</v>
      </c>
      <c r="K21" s="139">
        <v>8</v>
      </c>
      <c r="L21" s="139">
        <v>9</v>
      </c>
      <c r="M21" s="21">
        <v>10</v>
      </c>
      <c r="N21" s="21">
        <v>15</v>
      </c>
    </row>
    <row r="22" spans="1:22" ht="67.5" customHeight="1">
      <c r="A22" s="188" t="s">
        <v>146</v>
      </c>
      <c r="B22" s="64" t="s">
        <v>150</v>
      </c>
      <c r="C22" s="3" t="s">
        <v>5</v>
      </c>
      <c r="D22" s="3" t="s">
        <v>5</v>
      </c>
      <c r="E22" s="4" t="s">
        <v>5</v>
      </c>
      <c r="F22" s="3" t="s">
        <v>5</v>
      </c>
      <c r="G22" s="140">
        <f t="shared" ref="G22:L22" si="0">G23+G24+G25</f>
        <v>1307409855.9300001</v>
      </c>
      <c r="H22" s="140">
        <f t="shared" si="0"/>
        <v>1433259669.8699999</v>
      </c>
      <c r="I22" s="140">
        <f t="shared" si="0"/>
        <v>1429717712.9099998</v>
      </c>
      <c r="J22" s="140">
        <f>J23+J24+J25</f>
        <v>1693586269.1300001</v>
      </c>
      <c r="K22" s="140">
        <f t="shared" si="0"/>
        <v>1809951947.0799999</v>
      </c>
      <c r="L22" s="140">
        <f t="shared" si="0"/>
        <v>1535808702.4099998</v>
      </c>
      <c r="M22" s="17"/>
      <c r="N22" s="177" t="s">
        <v>105</v>
      </c>
      <c r="O22" s="39"/>
      <c r="P22" s="36"/>
      <c r="Q22" s="39"/>
      <c r="R22" s="39"/>
      <c r="T22" s="39"/>
    </row>
    <row r="23" spans="1:22">
      <c r="A23" s="188"/>
      <c r="B23" s="6" t="s">
        <v>151</v>
      </c>
      <c r="C23" s="3"/>
      <c r="D23" s="3"/>
      <c r="E23" s="4"/>
      <c r="F23" s="3"/>
      <c r="G23" s="141">
        <f t="shared" ref="G23" si="1">G81+G82+G112+G121+G157+G179+G184+G199+G202+G206+G209+G213+G216+G244+G162+G170+G171</f>
        <v>91801230.25999999</v>
      </c>
      <c r="H23" s="141">
        <f>H81+H82+H112+H121+H157+H179+H184+H199+H202+H206+H209+H213+H216+H244+H162+H170+H171+H159</f>
        <v>150186033.76000002</v>
      </c>
      <c r="I23" s="141">
        <f>I81+I82+I112+I121+I157+I179+I184+I199+I202+I206+I209+I213+I216+I244+I162+I170+I171+I214</f>
        <v>116875101.56999999</v>
      </c>
      <c r="J23" s="141">
        <f>J81+J82+J112+J121+J157+J179+J184+J199+J202+J206+J209+J213+J216+J244+J162+J170+J171+J214+J218</f>
        <v>164552381.75999999</v>
      </c>
      <c r="K23" s="141">
        <f>K81+K82+K112+K121+K157+K179+K184+K199+K202+K206+K209+K213+K216+K244+K162+K170+K171+K214+K218</f>
        <v>363216373</v>
      </c>
      <c r="L23" s="141">
        <f>L81+L82+L112+L121+L157+L179+L184+L199+L202+L206+L209+L213+L216+L244+L162+L170+L171+L214+L218</f>
        <v>115423106</v>
      </c>
      <c r="M23" s="17"/>
      <c r="N23" s="178"/>
      <c r="O23" s="39"/>
      <c r="P23" s="39"/>
      <c r="Q23" s="39"/>
      <c r="R23" s="39"/>
      <c r="S23" s="39"/>
      <c r="T23" s="39"/>
      <c r="U23" s="39"/>
      <c r="V23" s="39"/>
    </row>
    <row r="24" spans="1:22" ht="32.25" customHeight="1">
      <c r="A24" s="188"/>
      <c r="B24" s="6" t="s">
        <v>152</v>
      </c>
      <c r="C24" s="3"/>
      <c r="D24" s="3"/>
      <c r="E24" s="4"/>
      <c r="F24" s="3"/>
      <c r="G24" s="141">
        <f t="shared" ref="G24" si="2">G39+G41+G63+G77+G83+G90+G91+G95+G99+G101+G113+G120+G180+G182+G185+G200+G203+G207+G210+G226+G229+G245+G160+G163+G165+G169+G172+G174</f>
        <v>805398983.12</v>
      </c>
      <c r="H24" s="141">
        <f>H39+H41+H63+H77+H83+H90+H91+H95+H99+H101+H113+H120+H180+H182+H185+H200+H203+H207+H210+H226+H229+H245+H160+H163+H165+H169+H172+H174+H194+H196</f>
        <v>863939884.03999984</v>
      </c>
      <c r="I24" s="141">
        <f>I39+I41+I63+I77+I83+I90+I91+I95+I99+I101+I113+I120+I180+I182+I185+I200+I203+I207+I210+I226+I229+I245+I160+I163+I165+I169+I172+I174+I194+I196+I215</f>
        <v>931143912.25</v>
      </c>
      <c r="J24" s="141">
        <f>J39+J41+J63+J77+J83+J90+J91+J95+J99+J101+J113+J120+J180+J182+J185+J200+J203+J207+J210+J226+J229+J245+J160+J163+J165+J169+J172+J174+J194+J196+J215+J219</f>
        <v>1100666386.71</v>
      </c>
      <c r="K24" s="141">
        <f t="shared" ref="K24:L24" si="3">K39+K41+K63+K77+K83+K90+K91+K95+K99+K101+K113+K120+K180+K182+K185+K200+K203+K207+K210+K226+K229+K245+K160+K163+K165+K169+K172+K174+K194+K196+K215</f>
        <v>1089562109.26</v>
      </c>
      <c r="L24" s="141">
        <f t="shared" si="3"/>
        <v>1081467000.5899999</v>
      </c>
      <c r="M24" s="17"/>
      <c r="N24" s="178"/>
      <c r="O24" s="39"/>
      <c r="P24" s="39"/>
      <c r="Q24" s="39"/>
      <c r="R24" s="39"/>
      <c r="S24" s="39"/>
    </row>
    <row r="25" spans="1:22">
      <c r="A25" s="188"/>
      <c r="B25" s="6" t="s">
        <v>153</v>
      </c>
      <c r="C25" s="3"/>
      <c r="D25" s="3"/>
      <c r="E25" s="4"/>
      <c r="F25" s="3"/>
      <c r="G25" s="141">
        <f>G31+G33+G35+G36+G37+G38+G43+G62+G67+G68+G72+G78+G79+G80+G92+G96+G100+G102+G114+G116+G137+G142+G143+G144+G145+G146+G147+G150+G151+G153+G155+G181+G183+G186+G204+G208+G211+G223+G224+G225+G230+G231+G234+G236+G238+G239+G240+G241+G246+G249+G250+G251+G252+G253+G255+G161+G164+G168+G173+G175+G193+G195+G197+G166</f>
        <v>410209642.55000001</v>
      </c>
      <c r="H25" s="141">
        <f t="shared" ref="H25" si="4">H31+H33+H35+H36+H37+H38+H43+H62+H67+H68+H72+H78+H79+H80+H92+H96+H100+H102+H114+H116+H137+H142+H143+H144+H145+H146+H147+H150+H151+H153+H155+H181+H183+H186+H204+H208+H211+H223+H224+H225+H230+H231+H234+H236+H238+H239+H240+H241+H246+H249+H250+H251+H252+H253+H255+H161+H164+H168+H173+H175+H193+H195+H197+H166</f>
        <v>419133752.07000011</v>
      </c>
      <c r="I25" s="141">
        <f>I31+I33+I35+I36+I37+I38+I43+I62+I67+I68+I72+I78+I79+I80+I92+I96+I100+I102+I114+I116+I137+I142+I143+I144+I145+I146+I147+I150+I151+I153+I155+I181+I183+I186+I204+I208+I211+I223+I224+I225+I230+I231+I234+I236+I238+I239+I240+I241+I246+I249+I250+I251+I252+I253+I255+I161+I164+I168+I173+I175+I193+I195+I197+I166+I154+I148+I149+I156</f>
        <v>381698699.09000003</v>
      </c>
      <c r="J25" s="141">
        <f>J31+J33+J35+J36+J37+J38+J43+J62+J67+J68+J72+J78+J79+J80+J92+J96+J100+J102+J114+J116+J137+J142+J143+J144+J145+J146+J147+J150+J151+J155+J181+J183+J186+J204+J208+J211+J223+J224+J225+J230+J231+J234+J236+J238+J239+J241+J246+J249+J250+J251+J252+J253+J255+J161+J164+J168+J173+J175+J193+J195+J197+J166+J154+J148+J149+J220+J240+J153+J140</f>
        <v>428367500.66000003</v>
      </c>
      <c r="K25" s="141">
        <f t="shared" ref="K25:L25" si="5">K31+K33+K35+K36+K37+K38+K43+K62+K67+K68+K72+K78+K79+K80+K92+K96+K100+K102+K114+K116+K137+K142+K143+K144+K145+K146+K147+K150+K151+K155+K181+K183+K186+K204+K208+K211+K223+K224+K225+K230+K231+K234+K236+K238+K239+K241+K246+K249+K250+K251+K252+K253+K255+K161+K164+K168+K173+K175+K193+K195+K197+K166+K154+K148+K149+K220+K240+K153+K140</f>
        <v>357173464.82000005</v>
      </c>
      <c r="L25" s="141">
        <f t="shared" si="5"/>
        <v>338918595.82000005</v>
      </c>
      <c r="M25" s="17"/>
      <c r="N25" s="178"/>
      <c r="O25" s="39"/>
      <c r="P25" s="39"/>
    </row>
    <row r="26" spans="1:22" ht="88.9" customHeight="1">
      <c r="A26" s="188"/>
      <c r="B26" s="63" t="s">
        <v>389</v>
      </c>
      <c r="C26" s="16" t="s">
        <v>6</v>
      </c>
      <c r="D26" s="16" t="s">
        <v>5</v>
      </c>
      <c r="E26" s="1" t="s">
        <v>5</v>
      </c>
      <c r="F26" s="16" t="s">
        <v>5</v>
      </c>
      <c r="G26" s="141">
        <f t="shared" ref="G26" si="6">G31++G35+G37+G38+G39++G41+G43+G63+G68+G77+G78+G79+G80+G81+G82+G83+G90+G91+G92+G95+G96+G99+G101+G102+G112+G113+G116+G120+G121+G137+G142+G143+G145+G146++G147+G150++G151++G155+G157+G179+G180+G181+G182+G183+G184+G185+G186+G202+G203+G199+G200+G204+G206+G207+G208+G213+G216+G224+G226+G229+G230+G234+G236+G238+G239+G240+G241+G244+G245+G246+G253+G255+G114+G100+G62+G144+G153+G159+G162+G170+G171++G163+G164+G165+G166+G168+G169+G172+G173+G174+G175+G193+G194+G195+G196+G197</f>
        <v>1252919250.3300004</v>
      </c>
      <c r="H26" s="141">
        <f>H31++H35+H37+H38+H39++H41+H43+H63+H68+H77+H78+H79+H80+H81+H82+H83+H90+H91+H92+H95+H96+H99+H101+H102+H112+H113+H116+H120+H121+H137+H142+H143+H145+H146++H147+H150++H151++H155+H157+H179+H180+H181+H182+H183+H184+H185+H186+H202+H203+H199+H200+H204+H206+H207+H208+H213+H216+H224+H226+H229+H230+H234+H236+H238+H239+H240+H241+H244+H245+H246+H253+H255+H114+H100+H62+H144+H153+H159+H162+H170+H171++H163+H164+H165+H166+H168+H169+H172+H173+H174+H175+H193+H194+H195+H196+H197+H160+H161</f>
        <v>1433099663.0799999</v>
      </c>
      <c r="I26" s="141">
        <f>I31++I35+I37+I38+I39++I41+I43+I63+I68+I77+I78+I79+I80+I81+I82+I83+I90+I91+I92+I95+I96+I99+I101+I102+I112+I113+I116+I120+I121+I137+I142+I143+I145+I146++I147+I150++I151++I155+I157+I179+I180+I181+I182+I183+I184+I185+I186+I202+I203+I199+I200+I204+I206+I207+I208+I213+I216+I224+I226+I229+I230+I234+I236+I238+I239+I240+I241+I244+I245+I246+I253+I255+I114+I100+I62+I144+I153+I159+I162+I170+I171++I163+I164+I165+I166+I168+I169+I172+I173+I174+I175+I193+I194+I195+I196+I197+I148+I149+I154+I214+I215+I156</f>
        <v>1429418078.02</v>
      </c>
      <c r="J26" s="141">
        <f>J31++J35+J37+J38+J39++J41+J43+J63+J68+J77+J78+J79+J80+J81+J82+J83+J90+J91+J92+J95+J96+J99+J101+J102+J112+J113+J116+J120+J121+J137+J142+J143+J145+J146++J147+J150++J151++J155+J157+J179+J180+J181+J182+J183+J184+J185+J186+J202+J203+J199+J200+J204+J206+J207+J208+J213+J216+J224+J226+J229+J230+J234+J236+J238+J239+J241+J244+J245+J246+J253+J255+J114+J100+J62+J144+J159+J162+J170+J171++J163+J164+J165+J166+J168+J169+J172+J173+J174+J175+J193+J194+J195+J196+J197+J148+J149+J154+J214+J215+J218+J219+J220+J153+J240+J209+J210+J211+J140</f>
        <v>1688351469.1299999</v>
      </c>
      <c r="K26" s="141">
        <f t="shared" ref="K26:L26" si="7">K31++K35+K37+K38+K39++K41+K43+K63+K68+K77+K78+K79+K80+K81+K82+K83+K90+K91+K92+K95+K96+K99+K101+K102+K112+K113+K116+K120+K121+K137+K142+K143+K145+K146++K147+K150++K151++K155+K157+K179+K180+K181+K182+K183+K184+K185+K186+K202+K203+K199+K200+K204+K206+K207+K208+K213+K216+K224+K226+K229+K230+K234+K236+K238+K239+K241+K244+K245+K246+K253+K255+K114+K100+K62+K144+K159+K162+K170+K171++K163+K164+K165+K166+K168+K169+K172+K173+K174+K175+K193+K194+K195+K196+K197+K148+K149+K154+K214+K215+K218+K219+K220+K153+K240+K209+K210+K211+K140</f>
        <v>1807600147.0800002</v>
      </c>
      <c r="L26" s="141">
        <f t="shared" si="7"/>
        <v>1534616902.4100001</v>
      </c>
      <c r="M26" s="10"/>
      <c r="N26" s="178"/>
      <c r="P26" s="39"/>
    </row>
    <row r="27" spans="1:22" ht="107.45" customHeight="1">
      <c r="A27" s="188"/>
      <c r="B27" s="63" t="s">
        <v>390</v>
      </c>
      <c r="C27" s="16" t="s">
        <v>7</v>
      </c>
      <c r="D27" s="16" t="s">
        <v>5</v>
      </c>
      <c r="E27" s="1" t="s">
        <v>5</v>
      </c>
      <c r="F27" s="16" t="s">
        <v>5</v>
      </c>
      <c r="G27" s="141">
        <f t="shared" ref="G27:I27" si="8">G33+G36+G67+G72+G209+G210+G211</f>
        <v>671750</v>
      </c>
      <c r="H27" s="141">
        <f t="shared" si="8"/>
        <v>6.79</v>
      </c>
      <c r="I27" s="141">
        <f t="shared" si="8"/>
        <v>178034.89</v>
      </c>
      <c r="J27" s="141">
        <f>J33+J36+J67+J72</f>
        <v>5053000</v>
      </c>
      <c r="K27" s="141">
        <f t="shared" ref="K27:L27" si="9">K33+K36+K67+K72</f>
        <v>2170000</v>
      </c>
      <c r="L27" s="141">
        <f t="shared" si="9"/>
        <v>1010000</v>
      </c>
      <c r="M27" s="10"/>
      <c r="N27" s="178"/>
      <c r="P27" s="39"/>
    </row>
    <row r="28" spans="1:22" ht="82.15" customHeight="1">
      <c r="A28" s="188"/>
      <c r="B28" s="63" t="s">
        <v>391</v>
      </c>
      <c r="C28" s="16" t="s">
        <v>8</v>
      </c>
      <c r="D28" s="16" t="s">
        <v>5</v>
      </c>
      <c r="E28" s="1" t="s">
        <v>5</v>
      </c>
      <c r="F28" s="16" t="s">
        <v>5</v>
      </c>
      <c r="G28" s="141">
        <f t="shared" ref="G28:L28" si="10">G223+G225+G231+G249+G250+G251+G252</f>
        <v>53818855.600000001</v>
      </c>
      <c r="H28" s="141">
        <f t="shared" si="10"/>
        <v>160000</v>
      </c>
      <c r="I28" s="141">
        <f t="shared" si="10"/>
        <v>121600</v>
      </c>
      <c r="J28" s="141">
        <f t="shared" si="10"/>
        <v>181800</v>
      </c>
      <c r="K28" s="141">
        <f t="shared" si="10"/>
        <v>181800</v>
      </c>
      <c r="L28" s="141">
        <f t="shared" si="10"/>
        <v>181800</v>
      </c>
      <c r="M28" s="10"/>
      <c r="N28" s="179"/>
      <c r="P28" s="39"/>
    </row>
    <row r="29" spans="1:22" ht="52.5" customHeight="1">
      <c r="A29" s="107" t="s">
        <v>147</v>
      </c>
      <c r="B29" s="63"/>
      <c r="C29" s="16"/>
      <c r="D29" s="16"/>
      <c r="E29" s="4" t="s">
        <v>10</v>
      </c>
      <c r="F29" s="16"/>
      <c r="G29" s="142">
        <f>G30+G61+G141+G45+G130+G176+G167+G192+G198+G205+G212+G217+G158</f>
        <v>1230511905.97</v>
      </c>
      <c r="H29" s="142">
        <f>H30+H61+H141+H45+H130+H176+H167+H192+H198+H205+H212+H217+H158</f>
        <v>1396670190.7899997</v>
      </c>
      <c r="I29" s="142">
        <f>I30+I61+I141+I45+I130+I176+I167+I192+I198+I205+I212+I217</f>
        <v>1400759507.9300001</v>
      </c>
      <c r="J29" s="142">
        <f>J30+J61+J141+J45+J130+J176+J167+J192+J198+J205+J212+J217</f>
        <v>1657178803.5300002</v>
      </c>
      <c r="K29" s="142">
        <f t="shared" ref="K29:L29" si="11">K30+K61+K141+K45+K130+K176+K167+K192+K198+K205+K212+K217</f>
        <v>1773312025.0800002</v>
      </c>
      <c r="L29" s="142">
        <f t="shared" si="11"/>
        <v>1499168780.4099998</v>
      </c>
      <c r="M29" s="10"/>
      <c r="N29" s="5"/>
      <c r="O29" s="39"/>
      <c r="P29" s="40"/>
      <c r="Q29" s="40"/>
      <c r="R29" s="40"/>
      <c r="S29" s="39"/>
    </row>
    <row r="30" spans="1:22" ht="51" customHeight="1">
      <c r="A30" s="108" t="s">
        <v>148</v>
      </c>
      <c r="B30" s="7"/>
      <c r="C30" s="8"/>
      <c r="D30" s="8"/>
      <c r="E30" s="9" t="s">
        <v>11</v>
      </c>
      <c r="F30" s="8" t="s">
        <v>9</v>
      </c>
      <c r="G30" s="143">
        <f t="shared" ref="G30:H30" si="12">SUM(G31:G58)</f>
        <v>221256749.78</v>
      </c>
      <c r="H30" s="143">
        <f t="shared" si="12"/>
        <v>236854075.82999998</v>
      </c>
      <c r="I30" s="143">
        <f>SUM(I31:I58)</f>
        <v>252341209.48000002</v>
      </c>
      <c r="J30" s="143">
        <f t="shared" ref="J30:K30" si="13">SUM(J31:J58)</f>
        <v>283199760</v>
      </c>
      <c r="K30" s="143">
        <f t="shared" si="13"/>
        <v>267192886.66999999</v>
      </c>
      <c r="L30" s="143">
        <f t="shared" ref="L30" si="14">SUM(L31:L58)</f>
        <v>259555990.33000001</v>
      </c>
      <c r="M30" s="10"/>
      <c r="N30" s="5"/>
      <c r="O30" s="39"/>
      <c r="P30" s="39"/>
      <c r="Q30" s="39"/>
      <c r="R30" s="39"/>
    </row>
    <row r="31" spans="1:22" ht="88.5" customHeight="1">
      <c r="A31" s="101" t="s">
        <v>149</v>
      </c>
      <c r="B31" s="63" t="s">
        <v>70</v>
      </c>
      <c r="C31" s="16">
        <v>904</v>
      </c>
      <c r="D31" s="16">
        <v>701</v>
      </c>
      <c r="E31" s="1" t="s">
        <v>12</v>
      </c>
      <c r="F31" s="16">
        <v>611</v>
      </c>
      <c r="G31" s="141">
        <v>64255431</v>
      </c>
      <c r="H31" s="146">
        <f>68205579.31+2965459.97+194703.04+164900+1122027.61</f>
        <v>72652669.930000007</v>
      </c>
      <c r="I31" s="141">
        <v>79542893.810000002</v>
      </c>
      <c r="J31" s="141">
        <v>90195000</v>
      </c>
      <c r="K31" s="141">
        <v>71677726.670000002</v>
      </c>
      <c r="L31" s="141">
        <v>68093840.329999998</v>
      </c>
      <c r="M31" s="63" t="s">
        <v>164</v>
      </c>
      <c r="N31" s="180" t="s">
        <v>106</v>
      </c>
    </row>
    <row r="32" spans="1:22" ht="14.25" hidden="1" customHeight="1">
      <c r="A32" s="181" t="s">
        <v>154</v>
      </c>
      <c r="B32" s="180" t="s">
        <v>288</v>
      </c>
      <c r="C32" s="16">
        <v>910</v>
      </c>
      <c r="D32" s="16">
        <v>701</v>
      </c>
      <c r="E32" s="1" t="s">
        <v>47</v>
      </c>
      <c r="F32" s="16">
        <v>414</v>
      </c>
      <c r="G32" s="141"/>
      <c r="H32" s="146"/>
      <c r="I32" s="141"/>
      <c r="J32" s="141"/>
      <c r="K32" s="141"/>
      <c r="L32" s="141"/>
      <c r="M32" s="63" t="s">
        <v>165</v>
      </c>
      <c r="N32" s="180"/>
    </row>
    <row r="33" spans="1:14" ht="69.599999999999994" customHeight="1">
      <c r="A33" s="181"/>
      <c r="B33" s="180"/>
      <c r="C33" s="16">
        <v>910</v>
      </c>
      <c r="D33" s="16">
        <v>701</v>
      </c>
      <c r="E33" s="1" t="s">
        <v>47</v>
      </c>
      <c r="F33" s="16">
        <v>853</v>
      </c>
      <c r="G33" s="141">
        <v>72750</v>
      </c>
      <c r="H33" s="146">
        <f>7-0.21</f>
        <v>6.79</v>
      </c>
      <c r="I33" s="141">
        <v>0</v>
      </c>
      <c r="J33" s="141">
        <v>0</v>
      </c>
      <c r="K33" s="141">
        <v>0</v>
      </c>
      <c r="L33" s="141">
        <v>0</v>
      </c>
      <c r="M33" s="63" t="s">
        <v>299</v>
      </c>
      <c r="N33" s="180"/>
    </row>
    <row r="34" spans="1:14" ht="54.75" hidden="1" customHeight="1">
      <c r="A34" s="181"/>
      <c r="B34" s="180"/>
      <c r="C34" s="16">
        <v>910</v>
      </c>
      <c r="D34" s="16">
        <v>701</v>
      </c>
      <c r="E34" s="1" t="s">
        <v>47</v>
      </c>
      <c r="F34" s="16">
        <v>244</v>
      </c>
      <c r="G34" s="141"/>
      <c r="H34" s="146"/>
      <c r="I34" s="141"/>
      <c r="J34" s="141"/>
      <c r="K34" s="141"/>
      <c r="L34" s="141"/>
      <c r="M34" s="63"/>
      <c r="N34" s="180"/>
    </row>
    <row r="35" spans="1:14" ht="54" customHeight="1">
      <c r="A35" s="181" t="s">
        <v>204</v>
      </c>
      <c r="B35" s="63" t="s">
        <v>70</v>
      </c>
      <c r="C35" s="16">
        <v>904</v>
      </c>
      <c r="D35" s="16">
        <v>701</v>
      </c>
      <c r="E35" s="1" t="s">
        <v>13</v>
      </c>
      <c r="F35" s="16">
        <v>612</v>
      </c>
      <c r="G35" s="141">
        <v>0</v>
      </c>
      <c r="H35" s="146">
        <f>360000+1611952.24+340000</f>
        <v>2311952.2400000002</v>
      </c>
      <c r="I35" s="141">
        <v>300000</v>
      </c>
      <c r="J35" s="141">
        <v>0</v>
      </c>
      <c r="K35" s="141">
        <v>0</v>
      </c>
      <c r="L35" s="141">
        <v>0</v>
      </c>
      <c r="M35" s="11" t="s">
        <v>294</v>
      </c>
      <c r="N35" s="180"/>
    </row>
    <row r="36" spans="1:14" ht="137.25" customHeight="1">
      <c r="A36" s="181"/>
      <c r="B36" s="63" t="s">
        <v>288</v>
      </c>
      <c r="C36" s="16">
        <v>910</v>
      </c>
      <c r="D36" s="16">
        <v>701</v>
      </c>
      <c r="E36" s="1" t="s">
        <v>13</v>
      </c>
      <c r="F36" s="16">
        <v>243</v>
      </c>
      <c r="G36" s="141">
        <v>0</v>
      </c>
      <c r="H36" s="146">
        <f>3600000-3600000</f>
        <v>0</v>
      </c>
      <c r="I36" s="141">
        <v>0</v>
      </c>
      <c r="J36" s="141">
        <v>1329000</v>
      </c>
      <c r="K36" s="141">
        <v>0</v>
      </c>
      <c r="L36" s="141">
        <v>510000</v>
      </c>
      <c r="M36" s="11" t="s">
        <v>393</v>
      </c>
      <c r="N36" s="180"/>
    </row>
    <row r="37" spans="1:14" ht="114" customHeight="1">
      <c r="A37" s="181" t="s">
        <v>205</v>
      </c>
      <c r="B37" s="180" t="s">
        <v>70</v>
      </c>
      <c r="C37" s="16">
        <v>904</v>
      </c>
      <c r="D37" s="16">
        <v>701</v>
      </c>
      <c r="E37" s="1" t="s">
        <v>14</v>
      </c>
      <c r="F37" s="16">
        <v>612</v>
      </c>
      <c r="G37" s="141">
        <v>8028221.7800000003</v>
      </c>
      <c r="H37" s="146">
        <f>4319714.72+3490000-1611952.24+729453.76+561697.5+465095.85+440544.63+711326</f>
        <v>9105880.2199999988</v>
      </c>
      <c r="I37" s="141">
        <v>762415.67</v>
      </c>
      <c r="J37" s="141">
        <v>582537.78</v>
      </c>
      <c r="K37" s="141">
        <v>4793542.72</v>
      </c>
      <c r="L37" s="141">
        <v>547816.67000000004</v>
      </c>
      <c r="M37" s="74" t="s">
        <v>375</v>
      </c>
      <c r="N37" s="180"/>
    </row>
    <row r="38" spans="1:14" ht="50.25" hidden="1" customHeight="1">
      <c r="A38" s="181"/>
      <c r="B38" s="180"/>
      <c r="C38" s="16">
        <v>904</v>
      </c>
      <c r="D38" s="16">
        <v>709</v>
      </c>
      <c r="E38" s="1" t="s">
        <v>14</v>
      </c>
      <c r="F38" s="16">
        <v>244</v>
      </c>
      <c r="G38" s="141">
        <v>0</v>
      </c>
      <c r="H38" s="146">
        <v>0</v>
      </c>
      <c r="I38" s="141">
        <v>0</v>
      </c>
      <c r="J38" s="141">
        <v>0</v>
      </c>
      <c r="K38" s="141">
        <v>0</v>
      </c>
      <c r="L38" s="141"/>
      <c r="M38" s="63"/>
      <c r="N38" s="180"/>
    </row>
    <row r="39" spans="1:14" ht="89.25" customHeight="1">
      <c r="A39" s="101" t="s">
        <v>206</v>
      </c>
      <c r="B39" s="63" t="s">
        <v>71</v>
      </c>
      <c r="C39" s="16">
        <v>904</v>
      </c>
      <c r="D39" s="16" t="s">
        <v>93</v>
      </c>
      <c r="E39" s="1" t="s">
        <v>15</v>
      </c>
      <c r="F39" s="16">
        <v>611</v>
      </c>
      <c r="G39" s="141">
        <v>145633000</v>
      </c>
      <c r="H39" s="146">
        <f>138583000+2748097.26+10929000</f>
        <v>152260097.25999999</v>
      </c>
      <c r="I39" s="141">
        <v>171684000</v>
      </c>
      <c r="J39" s="141">
        <v>189771000</v>
      </c>
      <c r="K39" s="141">
        <v>189771000</v>
      </c>
      <c r="L39" s="141">
        <v>189771000</v>
      </c>
      <c r="M39" s="63" t="s">
        <v>166</v>
      </c>
      <c r="N39" s="180"/>
    </row>
    <row r="40" spans="1:14" ht="63" hidden="1" customHeight="1">
      <c r="A40" s="101" t="s">
        <v>59</v>
      </c>
      <c r="B40" s="63" t="s">
        <v>70</v>
      </c>
      <c r="C40" s="16">
        <v>904</v>
      </c>
      <c r="D40" s="16" t="s">
        <v>93</v>
      </c>
      <c r="E40" s="1" t="s">
        <v>64</v>
      </c>
      <c r="F40" s="16">
        <v>611</v>
      </c>
      <c r="G40" s="141"/>
      <c r="H40" s="146"/>
      <c r="I40" s="141"/>
      <c r="J40" s="141"/>
      <c r="K40" s="141"/>
      <c r="L40" s="141"/>
      <c r="M40" s="63" t="s">
        <v>60</v>
      </c>
      <c r="N40" s="63"/>
    </row>
    <row r="41" spans="1:14" ht="43.15" customHeight="1">
      <c r="A41" s="101" t="s">
        <v>207</v>
      </c>
      <c r="B41" s="63" t="s">
        <v>71</v>
      </c>
      <c r="C41" s="16">
        <v>904</v>
      </c>
      <c r="D41" s="16" t="s">
        <v>93</v>
      </c>
      <c r="E41" s="1" t="s">
        <v>94</v>
      </c>
      <c r="F41" s="16">
        <v>612</v>
      </c>
      <c r="G41" s="141">
        <v>3202000</v>
      </c>
      <c r="H41" s="146">
        <f>3513000-3000000</f>
        <v>513000</v>
      </c>
      <c r="I41" s="141">
        <f>1539000-1488138</f>
        <v>50862</v>
      </c>
      <c r="J41" s="141">
        <v>1071000</v>
      </c>
      <c r="K41" s="141">
        <v>770000</v>
      </c>
      <c r="L41" s="141">
        <v>513000</v>
      </c>
      <c r="M41" s="75" t="s">
        <v>308</v>
      </c>
      <c r="N41" s="63"/>
    </row>
    <row r="42" spans="1:14" ht="48" hidden="1" customHeight="1">
      <c r="A42" s="101" t="s">
        <v>111</v>
      </c>
      <c r="B42" s="63" t="s">
        <v>71</v>
      </c>
      <c r="C42" s="16">
        <v>904</v>
      </c>
      <c r="D42" s="16" t="s">
        <v>93</v>
      </c>
      <c r="E42" s="1" t="s">
        <v>112</v>
      </c>
      <c r="F42" s="16">
        <v>611</v>
      </c>
      <c r="G42" s="141"/>
      <c r="H42" s="146"/>
      <c r="I42" s="141"/>
      <c r="J42" s="141"/>
      <c r="K42" s="141"/>
      <c r="L42" s="141"/>
      <c r="M42" s="63" t="s">
        <v>220</v>
      </c>
      <c r="N42" s="63"/>
    </row>
    <row r="43" spans="1:14" ht="52.5" customHeight="1">
      <c r="A43" s="101" t="s">
        <v>208</v>
      </c>
      <c r="B43" s="63" t="s">
        <v>88</v>
      </c>
      <c r="C43" s="16">
        <v>904</v>
      </c>
      <c r="D43" s="16" t="s">
        <v>93</v>
      </c>
      <c r="E43" s="1" t="s">
        <v>95</v>
      </c>
      <c r="F43" s="16">
        <v>612</v>
      </c>
      <c r="G43" s="141">
        <v>65347</v>
      </c>
      <c r="H43" s="146">
        <f>71694-61224.61</f>
        <v>10469.39</v>
      </c>
      <c r="I43" s="141">
        <f>409102-408064</f>
        <v>1038</v>
      </c>
      <c r="J43" s="141">
        <v>251222.22</v>
      </c>
      <c r="K43" s="141">
        <v>180617.28</v>
      </c>
      <c r="L43" s="141">
        <v>120333.33</v>
      </c>
      <c r="M43" s="63" t="s">
        <v>309</v>
      </c>
      <c r="N43" s="63"/>
    </row>
    <row r="44" spans="1:14" ht="50.25" hidden="1" customHeight="1">
      <c r="A44" s="101" t="s">
        <v>113</v>
      </c>
      <c r="B44" s="63" t="s">
        <v>88</v>
      </c>
      <c r="C44" s="16">
        <v>904</v>
      </c>
      <c r="D44" s="16" t="s">
        <v>93</v>
      </c>
      <c r="E44" s="1" t="s">
        <v>114</v>
      </c>
      <c r="F44" s="16">
        <v>611</v>
      </c>
      <c r="G44" s="141"/>
      <c r="H44" s="146"/>
      <c r="I44" s="141"/>
      <c r="J44" s="141"/>
      <c r="K44" s="141"/>
      <c r="L44" s="141"/>
      <c r="M44" s="63" t="s">
        <v>221</v>
      </c>
      <c r="N44" s="63"/>
    </row>
    <row r="45" spans="1:14" ht="81" hidden="1" customHeight="1">
      <c r="A45" s="108" t="s">
        <v>82</v>
      </c>
      <c r="B45" s="63"/>
      <c r="C45" s="16"/>
      <c r="D45" s="16"/>
      <c r="E45" s="9" t="s">
        <v>84</v>
      </c>
      <c r="F45" s="16"/>
      <c r="G45" s="143">
        <f t="shared" ref="G45:K45" si="15">G50+G51+G52</f>
        <v>0</v>
      </c>
      <c r="H45" s="147">
        <f t="shared" si="15"/>
        <v>0</v>
      </c>
      <c r="I45" s="143">
        <f t="shared" si="15"/>
        <v>0</v>
      </c>
      <c r="J45" s="143">
        <f t="shared" si="15"/>
        <v>0</v>
      </c>
      <c r="K45" s="143">
        <f t="shared" si="15"/>
        <v>0</v>
      </c>
      <c r="L45" s="143"/>
      <c r="M45" s="63"/>
      <c r="N45" s="63"/>
    </row>
    <row r="46" spans="1:14" ht="30.75" hidden="1" customHeight="1">
      <c r="A46" s="182" t="s">
        <v>37</v>
      </c>
      <c r="B46" s="184" t="s">
        <v>88</v>
      </c>
      <c r="C46" s="16">
        <v>904</v>
      </c>
      <c r="D46" s="16" t="s">
        <v>93</v>
      </c>
      <c r="E46" s="1" t="s">
        <v>117</v>
      </c>
      <c r="F46" s="16">
        <v>612</v>
      </c>
      <c r="G46" s="143"/>
      <c r="H46" s="147"/>
      <c r="I46" s="143"/>
      <c r="J46" s="143"/>
      <c r="K46" s="143"/>
      <c r="L46" s="143"/>
      <c r="M46" s="13" t="s">
        <v>136</v>
      </c>
      <c r="N46" s="207" t="s">
        <v>106</v>
      </c>
    </row>
    <row r="47" spans="1:14" ht="41.25" hidden="1" customHeight="1">
      <c r="A47" s="187"/>
      <c r="B47" s="186"/>
      <c r="C47" s="16">
        <v>904</v>
      </c>
      <c r="D47" s="16" t="s">
        <v>93</v>
      </c>
      <c r="E47" s="1" t="s">
        <v>117</v>
      </c>
      <c r="F47" s="16">
        <v>414</v>
      </c>
      <c r="G47" s="143"/>
      <c r="H47" s="147"/>
      <c r="I47" s="143"/>
      <c r="J47" s="143"/>
      <c r="K47" s="143"/>
      <c r="L47" s="143"/>
      <c r="M47" s="13" t="s">
        <v>121</v>
      </c>
      <c r="N47" s="208"/>
    </row>
    <row r="48" spans="1:14" ht="41.25" hidden="1" customHeight="1">
      <c r="A48" s="187"/>
      <c r="B48" s="184" t="s">
        <v>7</v>
      </c>
      <c r="C48" s="16">
        <v>910</v>
      </c>
      <c r="D48" s="16" t="s">
        <v>134</v>
      </c>
      <c r="E48" s="1" t="s">
        <v>117</v>
      </c>
      <c r="F48" s="16">
        <v>244</v>
      </c>
      <c r="G48" s="143"/>
      <c r="H48" s="147"/>
      <c r="I48" s="143"/>
      <c r="J48" s="143"/>
      <c r="K48" s="143"/>
      <c r="L48" s="164"/>
      <c r="M48" s="67" t="s">
        <v>135</v>
      </c>
      <c r="N48" s="208"/>
    </row>
    <row r="49" spans="1:20" ht="51" hidden="1" customHeight="1">
      <c r="A49" s="183"/>
      <c r="B49" s="186"/>
      <c r="C49" s="16">
        <v>910</v>
      </c>
      <c r="D49" s="16" t="s">
        <v>93</v>
      </c>
      <c r="E49" s="1" t="s">
        <v>117</v>
      </c>
      <c r="F49" s="16">
        <v>414</v>
      </c>
      <c r="G49" s="143"/>
      <c r="H49" s="147"/>
      <c r="I49" s="143"/>
      <c r="J49" s="143"/>
      <c r="K49" s="143"/>
      <c r="L49" s="164"/>
      <c r="M49" s="67" t="s">
        <v>130</v>
      </c>
      <c r="N49" s="208"/>
    </row>
    <row r="50" spans="1:20" ht="43.5" hidden="1" customHeight="1">
      <c r="A50" s="182" t="s">
        <v>83</v>
      </c>
      <c r="B50" s="63" t="s">
        <v>75</v>
      </c>
      <c r="C50" s="16">
        <v>910</v>
      </c>
      <c r="D50" s="16">
        <v>701</v>
      </c>
      <c r="E50" s="1" t="s">
        <v>85</v>
      </c>
      <c r="F50" s="16">
        <v>414</v>
      </c>
      <c r="G50" s="141"/>
      <c r="H50" s="146"/>
      <c r="I50" s="141"/>
      <c r="J50" s="141"/>
      <c r="K50" s="141"/>
      <c r="L50" s="159"/>
      <c r="M50" s="184" t="s">
        <v>86</v>
      </c>
      <c r="N50" s="208"/>
    </row>
    <row r="51" spans="1:20" ht="36" hidden="1" customHeight="1">
      <c r="A51" s="187"/>
      <c r="B51" s="63" t="s">
        <v>76</v>
      </c>
      <c r="C51" s="16">
        <v>910</v>
      </c>
      <c r="D51" s="16">
        <v>701</v>
      </c>
      <c r="E51" s="1" t="s">
        <v>85</v>
      </c>
      <c r="F51" s="16">
        <v>414</v>
      </c>
      <c r="G51" s="141"/>
      <c r="H51" s="146"/>
      <c r="I51" s="141"/>
      <c r="J51" s="141"/>
      <c r="K51" s="141"/>
      <c r="L51" s="161"/>
      <c r="M51" s="185"/>
      <c r="N51" s="208"/>
    </row>
    <row r="52" spans="1:20" ht="34.5" hidden="1" customHeight="1">
      <c r="A52" s="183"/>
      <c r="B52" s="63" t="s">
        <v>77</v>
      </c>
      <c r="C52" s="16">
        <v>910</v>
      </c>
      <c r="D52" s="16">
        <v>701</v>
      </c>
      <c r="E52" s="1" t="s">
        <v>85</v>
      </c>
      <c r="F52" s="16">
        <v>414</v>
      </c>
      <c r="G52" s="141"/>
      <c r="H52" s="146"/>
      <c r="I52" s="141"/>
      <c r="J52" s="141"/>
      <c r="K52" s="141"/>
      <c r="L52" s="158"/>
      <c r="M52" s="186"/>
      <c r="N52" s="208"/>
    </row>
    <row r="53" spans="1:20" ht="34.5" hidden="1" customHeight="1">
      <c r="A53" s="182" t="s">
        <v>87</v>
      </c>
      <c r="B53" s="63" t="s">
        <v>71</v>
      </c>
      <c r="C53" s="16">
        <v>904</v>
      </c>
      <c r="D53" s="16" t="s">
        <v>93</v>
      </c>
      <c r="E53" s="1" t="s">
        <v>118</v>
      </c>
      <c r="F53" s="16">
        <v>612</v>
      </c>
      <c r="G53" s="141"/>
      <c r="H53" s="146"/>
      <c r="I53" s="141"/>
      <c r="J53" s="141"/>
      <c r="K53" s="141"/>
      <c r="L53" s="158"/>
      <c r="M53" s="68" t="s">
        <v>136</v>
      </c>
      <c r="N53" s="208"/>
    </row>
    <row r="54" spans="1:20" ht="34.5" hidden="1" customHeight="1">
      <c r="A54" s="187"/>
      <c r="B54" s="63" t="s">
        <v>71</v>
      </c>
      <c r="C54" s="16">
        <v>904</v>
      </c>
      <c r="D54" s="16">
        <v>701</v>
      </c>
      <c r="E54" s="1" t="s">
        <v>118</v>
      </c>
      <c r="F54" s="16">
        <v>414</v>
      </c>
      <c r="G54" s="141"/>
      <c r="H54" s="146"/>
      <c r="I54" s="141"/>
      <c r="J54" s="141"/>
      <c r="K54" s="141"/>
      <c r="L54" s="158"/>
      <c r="M54" s="68" t="s">
        <v>121</v>
      </c>
      <c r="N54" s="208"/>
    </row>
    <row r="55" spans="1:20" ht="34.5" hidden="1" customHeight="1">
      <c r="A55" s="183"/>
      <c r="B55" s="63" t="s">
        <v>76</v>
      </c>
      <c r="C55" s="16">
        <v>910</v>
      </c>
      <c r="D55" s="16">
        <v>701</v>
      </c>
      <c r="E55" s="1" t="s">
        <v>118</v>
      </c>
      <c r="F55" s="16">
        <v>414</v>
      </c>
      <c r="G55" s="141"/>
      <c r="H55" s="146"/>
      <c r="I55" s="141"/>
      <c r="J55" s="141"/>
      <c r="K55" s="141"/>
      <c r="L55" s="158"/>
      <c r="M55" s="68" t="s">
        <v>86</v>
      </c>
      <c r="N55" s="208"/>
    </row>
    <row r="56" spans="1:20" ht="34.5" hidden="1" customHeight="1">
      <c r="A56" s="182" t="s">
        <v>119</v>
      </c>
      <c r="B56" s="63" t="s">
        <v>88</v>
      </c>
      <c r="C56" s="16">
        <v>904</v>
      </c>
      <c r="D56" s="16" t="s">
        <v>93</v>
      </c>
      <c r="E56" s="1" t="s">
        <v>120</v>
      </c>
      <c r="F56" s="16">
        <v>612</v>
      </c>
      <c r="G56" s="141"/>
      <c r="H56" s="146"/>
      <c r="I56" s="141"/>
      <c r="J56" s="141"/>
      <c r="K56" s="141"/>
      <c r="L56" s="158"/>
      <c r="M56" s="68" t="s">
        <v>137</v>
      </c>
      <c r="N56" s="208"/>
    </row>
    <row r="57" spans="1:20" ht="54.75" hidden="1" customHeight="1">
      <c r="A57" s="187"/>
      <c r="B57" s="63" t="s">
        <v>88</v>
      </c>
      <c r="C57" s="16">
        <v>904</v>
      </c>
      <c r="D57" s="16">
        <v>701</v>
      </c>
      <c r="E57" s="1" t="s">
        <v>120</v>
      </c>
      <c r="F57" s="16">
        <v>414</v>
      </c>
      <c r="G57" s="141"/>
      <c r="H57" s="146"/>
      <c r="I57" s="141"/>
      <c r="J57" s="141"/>
      <c r="K57" s="141"/>
      <c r="L57" s="158"/>
      <c r="M57" s="68" t="s">
        <v>122</v>
      </c>
      <c r="N57" s="208"/>
    </row>
    <row r="58" spans="1:20" ht="37.5" hidden="1" customHeight="1">
      <c r="A58" s="183"/>
      <c r="B58" s="63" t="s">
        <v>77</v>
      </c>
      <c r="C58" s="16">
        <v>910</v>
      </c>
      <c r="D58" s="16">
        <v>701</v>
      </c>
      <c r="E58" s="1" t="s">
        <v>120</v>
      </c>
      <c r="F58" s="16">
        <v>414</v>
      </c>
      <c r="G58" s="141"/>
      <c r="H58" s="146"/>
      <c r="I58" s="141"/>
      <c r="J58" s="141"/>
      <c r="K58" s="141"/>
      <c r="L58" s="158"/>
      <c r="M58" s="68" t="s">
        <v>86</v>
      </c>
      <c r="N58" s="209"/>
    </row>
    <row r="59" spans="1:20" s="86" customFormat="1" ht="39.75" hidden="1" customHeight="1">
      <c r="A59" s="181" t="s">
        <v>311</v>
      </c>
      <c r="B59" s="81" t="s">
        <v>71</v>
      </c>
      <c r="C59" s="82"/>
      <c r="D59" s="82"/>
      <c r="E59" s="83"/>
      <c r="F59" s="82"/>
      <c r="G59" s="141"/>
      <c r="H59" s="146">
        <v>2000000</v>
      </c>
      <c r="I59" s="141"/>
      <c r="J59" s="141"/>
      <c r="K59" s="141"/>
      <c r="L59" s="159"/>
      <c r="M59" s="182" t="s">
        <v>306</v>
      </c>
      <c r="N59" s="85"/>
    </row>
    <row r="60" spans="1:20" s="86" customFormat="1" ht="37.5" hidden="1" customHeight="1">
      <c r="A60" s="181"/>
      <c r="B60" s="81" t="s">
        <v>70</v>
      </c>
      <c r="C60" s="82"/>
      <c r="D60" s="82"/>
      <c r="E60" s="83"/>
      <c r="F60" s="82"/>
      <c r="G60" s="141"/>
      <c r="H60" s="146">
        <v>400000</v>
      </c>
      <c r="I60" s="141"/>
      <c r="J60" s="141"/>
      <c r="K60" s="141"/>
      <c r="L60" s="158"/>
      <c r="M60" s="183"/>
      <c r="N60" s="85"/>
    </row>
    <row r="61" spans="1:20" ht="60" customHeight="1">
      <c r="A61" s="108" t="s">
        <v>313</v>
      </c>
      <c r="B61" s="7"/>
      <c r="C61" s="8"/>
      <c r="D61" s="8"/>
      <c r="E61" s="9" t="s">
        <v>16</v>
      </c>
      <c r="F61" s="8"/>
      <c r="G61" s="143">
        <f t="shared" ref="G61:I61" si="16">SUM(G62:G137)</f>
        <v>928872840.97000003</v>
      </c>
      <c r="H61" s="143">
        <f t="shared" si="16"/>
        <v>1088965965.5099998</v>
      </c>
      <c r="I61" s="143">
        <f t="shared" si="16"/>
        <v>1012843791.9</v>
      </c>
      <c r="J61" s="143">
        <f>SUM(J62:J140)</f>
        <v>1189692418.71</v>
      </c>
      <c r="K61" s="143">
        <f t="shared" ref="K61:L61" si="17">SUM(K62:K140)</f>
        <v>1123825586.1600001</v>
      </c>
      <c r="L61" s="143">
        <f t="shared" si="17"/>
        <v>1110336602.3099999</v>
      </c>
      <c r="M61" s="10"/>
      <c r="N61" s="10"/>
    </row>
    <row r="62" spans="1:20" ht="78" customHeight="1">
      <c r="A62" s="101" t="s">
        <v>314</v>
      </c>
      <c r="B62" s="63" t="s">
        <v>70</v>
      </c>
      <c r="C62" s="16">
        <v>904</v>
      </c>
      <c r="D62" s="16">
        <v>702</v>
      </c>
      <c r="E62" s="1" t="s">
        <v>17</v>
      </c>
      <c r="F62" s="16">
        <v>611</v>
      </c>
      <c r="G62" s="141">
        <v>176053531.90000001</v>
      </c>
      <c r="H62" s="146">
        <f>190389363.88+7374201.05+592811.36+247354.29-1315830-397000</f>
        <v>196890900.58000001</v>
      </c>
      <c r="I62" s="141">
        <v>210792865.94999999</v>
      </c>
      <c r="J62" s="141">
        <v>227124084.37</v>
      </c>
      <c r="K62" s="141">
        <v>176133024.53</v>
      </c>
      <c r="L62" s="141">
        <v>169732061.87</v>
      </c>
      <c r="M62" s="176" t="s">
        <v>167</v>
      </c>
      <c r="N62" s="29"/>
    </row>
    <row r="63" spans="1:20" ht="107.25" customHeight="1">
      <c r="A63" s="87" t="s">
        <v>315</v>
      </c>
      <c r="B63" s="63" t="s">
        <v>71</v>
      </c>
      <c r="C63" s="41">
        <v>904</v>
      </c>
      <c r="D63" s="41">
        <v>702</v>
      </c>
      <c r="E63" s="42" t="s">
        <v>247</v>
      </c>
      <c r="F63" s="43"/>
      <c r="G63" s="144">
        <v>0</v>
      </c>
      <c r="H63" s="165">
        <f>859375.07</f>
        <v>859375.07</v>
      </c>
      <c r="I63" s="144">
        <v>0</v>
      </c>
      <c r="J63" s="144">
        <v>0</v>
      </c>
      <c r="K63" s="144">
        <v>0</v>
      </c>
      <c r="L63" s="144">
        <v>0</v>
      </c>
      <c r="M63" s="63" t="s">
        <v>248</v>
      </c>
      <c r="N63" s="207" t="s">
        <v>109</v>
      </c>
      <c r="Q63" s="39"/>
      <c r="R63" s="39"/>
      <c r="S63" s="39"/>
      <c r="T63" s="39"/>
    </row>
    <row r="64" spans="1:20" ht="82.5" hidden="1" customHeight="1">
      <c r="A64" s="182" t="s">
        <v>316</v>
      </c>
      <c r="B64" s="63" t="s">
        <v>70</v>
      </c>
      <c r="C64" s="16">
        <v>904</v>
      </c>
      <c r="D64" s="16">
        <v>702</v>
      </c>
      <c r="E64" s="1" t="s">
        <v>38</v>
      </c>
      <c r="F64" s="16">
        <v>612</v>
      </c>
      <c r="G64" s="145"/>
      <c r="H64" s="166"/>
      <c r="I64" s="145"/>
      <c r="J64" s="145"/>
      <c r="K64" s="145"/>
      <c r="L64" s="145"/>
      <c r="M64" s="63" t="s">
        <v>61</v>
      </c>
      <c r="N64" s="208"/>
    </row>
    <row r="65" spans="1:14" ht="31.5" hidden="1" customHeight="1">
      <c r="A65" s="187"/>
      <c r="B65" s="180" t="s">
        <v>68</v>
      </c>
      <c r="C65" s="16">
        <v>910</v>
      </c>
      <c r="D65" s="16">
        <v>702</v>
      </c>
      <c r="E65" s="1" t="s">
        <v>38</v>
      </c>
      <c r="F65" s="16">
        <v>244</v>
      </c>
      <c r="G65" s="145"/>
      <c r="H65" s="166"/>
      <c r="I65" s="145"/>
      <c r="J65" s="145"/>
      <c r="K65" s="145"/>
      <c r="L65" s="145"/>
      <c r="M65" s="11" t="s">
        <v>110</v>
      </c>
      <c r="N65" s="208"/>
    </row>
    <row r="66" spans="1:14" ht="17.25" hidden="1" customHeight="1">
      <c r="A66" s="187"/>
      <c r="B66" s="180"/>
      <c r="C66" s="16">
        <v>910</v>
      </c>
      <c r="D66" s="16">
        <v>702</v>
      </c>
      <c r="E66" s="1" t="s">
        <v>38</v>
      </c>
      <c r="F66" s="16">
        <v>414</v>
      </c>
      <c r="G66" s="145"/>
      <c r="H66" s="166">
        <v>0</v>
      </c>
      <c r="I66" s="145"/>
      <c r="J66" s="145"/>
      <c r="K66" s="145"/>
      <c r="L66" s="145"/>
      <c r="M66" s="63"/>
      <c r="N66" s="208"/>
    </row>
    <row r="67" spans="1:14" ht="65.25" hidden="1" customHeight="1">
      <c r="A67" s="183"/>
      <c r="B67" s="63" t="s">
        <v>288</v>
      </c>
      <c r="C67" s="16">
        <v>910</v>
      </c>
      <c r="D67" s="16">
        <v>702</v>
      </c>
      <c r="E67" s="1" t="s">
        <v>96</v>
      </c>
      <c r="F67" s="16">
        <v>850</v>
      </c>
      <c r="G67" s="145">
        <v>0</v>
      </c>
      <c r="H67" s="166">
        <v>0</v>
      </c>
      <c r="I67" s="145">
        <v>0</v>
      </c>
      <c r="J67" s="145">
        <v>0</v>
      </c>
      <c r="K67" s="145">
        <v>0</v>
      </c>
      <c r="L67" s="145">
        <v>0</v>
      </c>
      <c r="M67" s="63" t="s">
        <v>300</v>
      </c>
      <c r="N67" s="208"/>
    </row>
    <row r="68" spans="1:14" ht="339.75" customHeight="1">
      <c r="A68" s="182" t="s">
        <v>317</v>
      </c>
      <c r="B68" s="180" t="s">
        <v>70</v>
      </c>
      <c r="C68" s="16">
        <v>904</v>
      </c>
      <c r="D68" s="16">
        <v>702</v>
      </c>
      <c r="E68" s="1" t="s">
        <v>18</v>
      </c>
      <c r="F68" s="16">
        <v>612</v>
      </c>
      <c r="G68" s="141">
        <v>315449.67</v>
      </c>
      <c r="H68" s="146">
        <f>12592491.84+133356+261836.46</f>
        <v>12987684.300000001</v>
      </c>
      <c r="I68" s="141">
        <v>326557.61</v>
      </c>
      <c r="J68" s="141">
        <v>810000</v>
      </c>
      <c r="K68" s="141">
        <v>641000</v>
      </c>
      <c r="L68" s="141">
        <v>1130000</v>
      </c>
      <c r="M68" s="63" t="s">
        <v>360</v>
      </c>
      <c r="N68" s="208"/>
    </row>
    <row r="69" spans="1:14" ht="18" hidden="1" customHeight="1">
      <c r="A69" s="187"/>
      <c r="B69" s="180"/>
      <c r="C69" s="16">
        <v>904</v>
      </c>
      <c r="D69" s="16">
        <v>702</v>
      </c>
      <c r="E69" s="1" t="s">
        <v>44</v>
      </c>
      <c r="F69" s="16">
        <v>612</v>
      </c>
      <c r="G69" s="141"/>
      <c r="H69" s="146"/>
      <c r="I69" s="141"/>
      <c r="J69" s="141"/>
      <c r="K69" s="141"/>
      <c r="L69" s="141"/>
      <c r="M69" s="180" t="s">
        <v>48</v>
      </c>
      <c r="N69" s="208"/>
    </row>
    <row r="70" spans="1:14" ht="17.25" hidden="1" customHeight="1">
      <c r="A70" s="187"/>
      <c r="B70" s="180"/>
      <c r="C70" s="16">
        <v>904</v>
      </c>
      <c r="D70" s="16">
        <v>702</v>
      </c>
      <c r="E70" s="1" t="s">
        <v>45</v>
      </c>
      <c r="F70" s="16">
        <v>612</v>
      </c>
      <c r="G70" s="141"/>
      <c r="H70" s="146"/>
      <c r="I70" s="141"/>
      <c r="J70" s="141"/>
      <c r="K70" s="141"/>
      <c r="L70" s="141"/>
      <c r="M70" s="180"/>
      <c r="N70" s="208"/>
    </row>
    <row r="71" spans="1:14" ht="39.75" hidden="1" customHeight="1">
      <c r="A71" s="187"/>
      <c r="B71" s="180"/>
      <c r="C71" s="16">
        <v>904</v>
      </c>
      <c r="D71" s="16">
        <v>702</v>
      </c>
      <c r="E71" s="1" t="s">
        <v>46</v>
      </c>
      <c r="F71" s="16">
        <v>612</v>
      </c>
      <c r="G71" s="141"/>
      <c r="H71" s="146"/>
      <c r="I71" s="141"/>
      <c r="J71" s="141"/>
      <c r="K71" s="141"/>
      <c r="L71" s="141"/>
      <c r="M71" s="180"/>
      <c r="N71" s="208"/>
    </row>
    <row r="72" spans="1:14" ht="380.25" customHeight="1">
      <c r="A72" s="187"/>
      <c r="B72" s="180" t="s">
        <v>288</v>
      </c>
      <c r="C72" s="16">
        <v>910</v>
      </c>
      <c r="D72" s="16">
        <v>702</v>
      </c>
      <c r="E72" s="1" t="s">
        <v>18</v>
      </c>
      <c r="F72" s="16">
        <v>243</v>
      </c>
      <c r="G72" s="170">
        <v>599000</v>
      </c>
      <c r="H72" s="173">
        <v>0</v>
      </c>
      <c r="I72" s="170">
        <v>178034.89</v>
      </c>
      <c r="J72" s="170">
        <v>3724000</v>
      </c>
      <c r="K72" s="170">
        <v>2170000</v>
      </c>
      <c r="L72" s="170">
        <v>500000</v>
      </c>
      <c r="M72" s="169" t="s">
        <v>394</v>
      </c>
      <c r="N72" s="208"/>
    </row>
    <row r="73" spans="1:14" ht="96.75" hidden="1" customHeight="1">
      <c r="A73" s="187"/>
      <c r="B73" s="180"/>
      <c r="C73" s="16">
        <v>910</v>
      </c>
      <c r="D73" s="16">
        <v>702</v>
      </c>
      <c r="E73" s="1" t="s">
        <v>49</v>
      </c>
      <c r="F73" s="16">
        <v>244</v>
      </c>
      <c r="G73" s="171"/>
      <c r="H73" s="174"/>
      <c r="I73" s="171"/>
      <c r="J73" s="171"/>
      <c r="K73" s="171"/>
      <c r="L73" s="171"/>
      <c r="M73" s="167" t="s">
        <v>51</v>
      </c>
      <c r="N73" s="208"/>
    </row>
    <row r="74" spans="1:14" ht="21.75" hidden="1" customHeight="1">
      <c r="A74" s="187"/>
      <c r="B74" s="180"/>
      <c r="C74" s="16">
        <v>910</v>
      </c>
      <c r="D74" s="16">
        <v>702</v>
      </c>
      <c r="E74" s="1" t="s">
        <v>44</v>
      </c>
      <c r="F74" s="16">
        <v>243</v>
      </c>
      <c r="G74" s="171"/>
      <c r="H74" s="174"/>
      <c r="I74" s="171"/>
      <c r="J74" s="171"/>
      <c r="K74" s="171"/>
      <c r="L74" s="171"/>
      <c r="M74" s="184" t="s">
        <v>395</v>
      </c>
      <c r="N74" s="208"/>
    </row>
    <row r="75" spans="1:14" ht="22.5" hidden="1" customHeight="1">
      <c r="A75" s="187"/>
      <c r="B75" s="180"/>
      <c r="C75" s="16">
        <v>910</v>
      </c>
      <c r="D75" s="16">
        <v>702</v>
      </c>
      <c r="E75" s="1" t="s">
        <v>45</v>
      </c>
      <c r="F75" s="16">
        <v>243</v>
      </c>
      <c r="G75" s="171"/>
      <c r="H75" s="174"/>
      <c r="I75" s="171"/>
      <c r="J75" s="171"/>
      <c r="K75" s="171"/>
      <c r="L75" s="171"/>
      <c r="M75" s="185"/>
      <c r="N75" s="208"/>
    </row>
    <row r="76" spans="1:14" ht="115.5" customHeight="1">
      <c r="A76" s="183"/>
      <c r="B76" s="180"/>
      <c r="C76" s="16">
        <v>910</v>
      </c>
      <c r="D76" s="16">
        <v>702</v>
      </c>
      <c r="E76" s="1" t="s">
        <v>46</v>
      </c>
      <c r="F76" s="16">
        <v>243</v>
      </c>
      <c r="G76" s="172"/>
      <c r="H76" s="175"/>
      <c r="I76" s="172"/>
      <c r="J76" s="172"/>
      <c r="K76" s="172"/>
      <c r="L76" s="172"/>
      <c r="M76" s="186"/>
      <c r="N76" s="208"/>
    </row>
    <row r="77" spans="1:14" ht="79.5" hidden="1" customHeight="1">
      <c r="A77" s="103" t="s">
        <v>318</v>
      </c>
      <c r="B77" s="63" t="s">
        <v>72</v>
      </c>
      <c r="C77" s="69">
        <v>904</v>
      </c>
      <c r="D77" s="69">
        <v>702</v>
      </c>
      <c r="E77" s="12" t="s">
        <v>19</v>
      </c>
      <c r="F77" s="69">
        <v>612</v>
      </c>
      <c r="G77" s="141"/>
      <c r="H77" s="146">
        <f>859375.07-859375.07</f>
        <v>0</v>
      </c>
      <c r="I77" s="141"/>
      <c r="J77" s="141"/>
      <c r="K77" s="141"/>
      <c r="L77" s="141"/>
      <c r="M77" s="63"/>
      <c r="N77" s="208"/>
    </row>
    <row r="78" spans="1:14" ht="246" customHeight="1">
      <c r="A78" s="109" t="s">
        <v>318</v>
      </c>
      <c r="B78" s="180" t="s">
        <v>70</v>
      </c>
      <c r="C78" s="69">
        <v>904</v>
      </c>
      <c r="D78" s="69">
        <v>702</v>
      </c>
      <c r="E78" s="12" t="s">
        <v>19</v>
      </c>
      <c r="F78" s="69">
        <v>612</v>
      </c>
      <c r="G78" s="141">
        <v>32391126.399999999</v>
      </c>
      <c r="H78" s="146">
        <f>28169619.68-10889507.84+550000+2000000+2881004.72+6734676.78+2488054.69+3947433.4+2988674</f>
        <v>38869955.43</v>
      </c>
      <c r="I78" s="141">
        <v>4964609.9000000004</v>
      </c>
      <c r="J78" s="141">
        <v>2236000</v>
      </c>
      <c r="K78" s="141">
        <v>3096288.21</v>
      </c>
      <c r="L78" s="141">
        <v>2641145.1800000002</v>
      </c>
      <c r="M78" s="63" t="s">
        <v>376</v>
      </c>
      <c r="N78" s="208"/>
    </row>
    <row r="79" spans="1:14" ht="78.75">
      <c r="A79" s="109"/>
      <c r="B79" s="180"/>
      <c r="C79" s="16">
        <v>904</v>
      </c>
      <c r="D79" s="16">
        <v>709</v>
      </c>
      <c r="E79" s="1" t="s">
        <v>19</v>
      </c>
      <c r="F79" s="16">
        <v>244</v>
      </c>
      <c r="G79" s="141">
        <v>258000</v>
      </c>
      <c r="H79" s="146">
        <f>431659.96+20084.07</f>
        <v>451744.03</v>
      </c>
      <c r="I79" s="141">
        <v>230000</v>
      </c>
      <c r="J79" s="141">
        <v>149500</v>
      </c>
      <c r="K79" s="141">
        <v>581500</v>
      </c>
      <c r="L79" s="141">
        <v>581500</v>
      </c>
      <c r="M79" s="63" t="s">
        <v>168</v>
      </c>
      <c r="N79" s="208"/>
    </row>
    <row r="80" spans="1:14" ht="33.75" customHeight="1">
      <c r="A80" s="104"/>
      <c r="B80" s="180"/>
      <c r="C80" s="16">
        <v>904</v>
      </c>
      <c r="D80" s="16">
        <v>709</v>
      </c>
      <c r="E80" s="1" t="s">
        <v>19</v>
      </c>
      <c r="F80" s="16">
        <v>350</v>
      </c>
      <c r="G80" s="141">
        <v>0</v>
      </c>
      <c r="H80" s="146">
        <v>30000</v>
      </c>
      <c r="I80" s="141">
        <v>0</v>
      </c>
      <c r="J80" s="141">
        <v>0</v>
      </c>
      <c r="K80" s="141">
        <v>0</v>
      </c>
      <c r="L80" s="141">
        <v>0</v>
      </c>
      <c r="M80" s="63" t="s">
        <v>255</v>
      </c>
      <c r="N80" s="208"/>
    </row>
    <row r="81" spans="1:14" ht="181.5" customHeight="1">
      <c r="A81" s="104" t="s">
        <v>319</v>
      </c>
      <c r="B81" s="63" t="s">
        <v>74</v>
      </c>
      <c r="C81" s="16">
        <v>904</v>
      </c>
      <c r="D81" s="16">
        <v>702</v>
      </c>
      <c r="E81" s="1" t="s">
        <v>253</v>
      </c>
      <c r="F81" s="16"/>
      <c r="G81" s="141">
        <v>0</v>
      </c>
      <c r="H81" s="146">
        <v>333312</v>
      </c>
      <c r="I81" s="141">
        <v>0</v>
      </c>
      <c r="J81" s="141">
        <v>0</v>
      </c>
      <c r="K81" s="141">
        <v>0</v>
      </c>
      <c r="L81" s="141">
        <v>0</v>
      </c>
      <c r="M81" s="63" t="s">
        <v>254</v>
      </c>
      <c r="N81" s="208"/>
    </row>
    <row r="82" spans="1:14" ht="86.25" customHeight="1">
      <c r="A82" s="101" t="s">
        <v>320</v>
      </c>
      <c r="B82" s="63" t="s">
        <v>74</v>
      </c>
      <c r="C82" s="16">
        <v>904</v>
      </c>
      <c r="D82" s="16" t="s">
        <v>123</v>
      </c>
      <c r="E82" s="1" t="s">
        <v>124</v>
      </c>
      <c r="F82" s="16">
        <v>612</v>
      </c>
      <c r="G82" s="141">
        <v>36705000</v>
      </c>
      <c r="H82" s="146">
        <f>38748000+5555000+23617000-4929224.85</f>
        <v>62990775.149999999</v>
      </c>
      <c r="I82" s="141">
        <v>0</v>
      </c>
      <c r="J82" s="141">
        <v>0</v>
      </c>
      <c r="K82" s="141">
        <v>0</v>
      </c>
      <c r="L82" s="141">
        <v>0</v>
      </c>
      <c r="M82" s="63" t="s">
        <v>169</v>
      </c>
      <c r="N82" s="208"/>
    </row>
    <row r="83" spans="1:14" ht="153.75" customHeight="1">
      <c r="A83" s="101" t="s">
        <v>321</v>
      </c>
      <c r="B83" s="63" t="s">
        <v>71</v>
      </c>
      <c r="C83" s="16">
        <v>904</v>
      </c>
      <c r="D83" s="16">
        <v>702</v>
      </c>
      <c r="E83" s="1" t="s">
        <v>20</v>
      </c>
      <c r="F83" s="16">
        <v>611</v>
      </c>
      <c r="G83" s="141">
        <v>615827000</v>
      </c>
      <c r="H83" s="146">
        <f>637610000+12098426.81+27291000</f>
        <v>676999426.80999994</v>
      </c>
      <c r="I83" s="141">
        <v>742656000</v>
      </c>
      <c r="J83" s="141">
        <v>887976000</v>
      </c>
      <c r="K83" s="141">
        <v>887976000</v>
      </c>
      <c r="L83" s="141">
        <v>887976000</v>
      </c>
      <c r="M83" s="63" t="s">
        <v>170</v>
      </c>
      <c r="N83" s="208"/>
    </row>
    <row r="84" spans="1:14" ht="207.75" hidden="1" customHeight="1">
      <c r="A84" s="101"/>
      <c r="B84" s="63"/>
      <c r="C84" s="16"/>
      <c r="D84" s="16"/>
      <c r="E84" s="1"/>
      <c r="F84" s="16"/>
      <c r="G84" s="141"/>
      <c r="H84" s="146"/>
      <c r="I84" s="141"/>
      <c r="J84" s="141"/>
      <c r="K84" s="141"/>
      <c r="L84" s="141"/>
      <c r="M84" s="63"/>
      <c r="N84" s="208"/>
    </row>
    <row r="85" spans="1:14" ht="207.75" hidden="1" customHeight="1">
      <c r="A85" s="101"/>
      <c r="B85" s="63"/>
      <c r="C85" s="16"/>
      <c r="D85" s="16"/>
      <c r="E85" s="1"/>
      <c r="F85" s="16"/>
      <c r="G85" s="141"/>
      <c r="H85" s="146"/>
      <c r="I85" s="141"/>
      <c r="J85" s="141"/>
      <c r="K85" s="141"/>
      <c r="L85" s="141"/>
      <c r="M85" s="63"/>
      <c r="N85" s="208"/>
    </row>
    <row r="86" spans="1:14" ht="207.75" hidden="1" customHeight="1">
      <c r="A86" s="101"/>
      <c r="B86" s="63"/>
      <c r="C86" s="16"/>
      <c r="D86" s="16"/>
      <c r="E86" s="1"/>
      <c r="F86" s="16"/>
      <c r="G86" s="141"/>
      <c r="H86" s="146"/>
      <c r="I86" s="141"/>
      <c r="J86" s="141"/>
      <c r="K86" s="141"/>
      <c r="L86" s="141"/>
      <c r="M86" s="63"/>
      <c r="N86" s="208"/>
    </row>
    <row r="87" spans="1:14" ht="38.25" hidden="1" customHeight="1">
      <c r="A87" s="181" t="s">
        <v>62</v>
      </c>
      <c r="B87" s="63" t="s">
        <v>75</v>
      </c>
      <c r="C87" s="16">
        <v>910</v>
      </c>
      <c r="D87" s="16">
        <v>702</v>
      </c>
      <c r="E87" s="1" t="s">
        <v>63</v>
      </c>
      <c r="F87" s="16">
        <v>414</v>
      </c>
      <c r="G87" s="141"/>
      <c r="H87" s="146"/>
      <c r="I87" s="141"/>
      <c r="J87" s="141"/>
      <c r="K87" s="141"/>
      <c r="L87" s="141"/>
      <c r="M87" s="180" t="s">
        <v>66</v>
      </c>
      <c r="N87" s="208"/>
    </row>
    <row r="88" spans="1:14" ht="36" hidden="1" customHeight="1">
      <c r="A88" s="181"/>
      <c r="B88" s="63" t="s">
        <v>76</v>
      </c>
      <c r="C88" s="16">
        <v>910</v>
      </c>
      <c r="D88" s="16">
        <v>702</v>
      </c>
      <c r="E88" s="1" t="s">
        <v>63</v>
      </c>
      <c r="F88" s="16">
        <v>414</v>
      </c>
      <c r="G88" s="141"/>
      <c r="H88" s="146"/>
      <c r="I88" s="141"/>
      <c r="J88" s="141"/>
      <c r="K88" s="141"/>
      <c r="L88" s="141"/>
      <c r="M88" s="180"/>
      <c r="N88" s="208"/>
    </row>
    <row r="89" spans="1:14" ht="37.5" hidden="1" customHeight="1">
      <c r="A89" s="181"/>
      <c r="B89" s="63" t="s">
        <v>68</v>
      </c>
      <c r="C89" s="16">
        <v>910</v>
      </c>
      <c r="D89" s="16">
        <v>702</v>
      </c>
      <c r="E89" s="1" t="s">
        <v>63</v>
      </c>
      <c r="F89" s="16">
        <v>414</v>
      </c>
      <c r="G89" s="141"/>
      <c r="H89" s="146"/>
      <c r="I89" s="141"/>
      <c r="J89" s="141"/>
      <c r="K89" s="141"/>
      <c r="L89" s="141"/>
      <c r="M89" s="63" t="s">
        <v>66</v>
      </c>
      <c r="N89" s="208"/>
    </row>
    <row r="90" spans="1:14" ht="51" customHeight="1">
      <c r="A90" s="101" t="s">
        <v>322</v>
      </c>
      <c r="B90" s="63" t="s">
        <v>71</v>
      </c>
      <c r="C90" s="16">
        <v>904</v>
      </c>
      <c r="D90" s="16">
        <v>702</v>
      </c>
      <c r="E90" s="1" t="s">
        <v>215</v>
      </c>
      <c r="F90" s="16">
        <v>412</v>
      </c>
      <c r="G90" s="141">
        <v>7450580</v>
      </c>
      <c r="H90" s="146">
        <v>4917520</v>
      </c>
      <c r="I90" s="141">
        <v>2269070</v>
      </c>
      <c r="J90" s="141">
        <v>0</v>
      </c>
      <c r="K90" s="141">
        <v>0</v>
      </c>
      <c r="L90" s="141">
        <v>0</v>
      </c>
      <c r="M90" s="63" t="s">
        <v>212</v>
      </c>
      <c r="N90" s="208"/>
    </row>
    <row r="91" spans="1:14" ht="50.25" customHeight="1">
      <c r="A91" s="87" t="s">
        <v>323</v>
      </c>
      <c r="B91" s="63" t="s">
        <v>71</v>
      </c>
      <c r="C91" s="16">
        <v>904</v>
      </c>
      <c r="D91" s="16">
        <v>702</v>
      </c>
      <c r="E91" s="1" t="s">
        <v>40</v>
      </c>
      <c r="F91" s="16">
        <v>612</v>
      </c>
      <c r="G91" s="141">
        <v>15270000</v>
      </c>
      <c r="H91" s="146">
        <f>7548000+3000000</f>
        <v>10548000</v>
      </c>
      <c r="I91" s="141">
        <f>4887000-734203.24</f>
        <v>4152796.76</v>
      </c>
      <c r="J91" s="141">
        <v>10426000</v>
      </c>
      <c r="K91" s="141">
        <v>2444000</v>
      </c>
      <c r="L91" s="141">
        <v>1222000</v>
      </c>
      <c r="M91" s="180" t="s">
        <v>203</v>
      </c>
      <c r="N91" s="208"/>
    </row>
    <row r="92" spans="1:14" ht="66.75" customHeight="1">
      <c r="A92" s="87" t="s">
        <v>324</v>
      </c>
      <c r="B92" s="63" t="s">
        <v>70</v>
      </c>
      <c r="C92" s="16">
        <v>904</v>
      </c>
      <c r="D92" s="16">
        <v>702</v>
      </c>
      <c r="E92" s="1" t="s">
        <v>43</v>
      </c>
      <c r="F92" s="16">
        <v>612</v>
      </c>
      <c r="G92" s="141">
        <v>311633</v>
      </c>
      <c r="H92" s="146">
        <f>154041+61224.61</f>
        <v>215265.61</v>
      </c>
      <c r="I92" s="141">
        <f>1299076-1299076</f>
        <v>0</v>
      </c>
      <c r="J92" s="141">
        <v>2445604.94</v>
      </c>
      <c r="K92" s="141">
        <v>573283.94999999995</v>
      </c>
      <c r="L92" s="141">
        <v>286641.98</v>
      </c>
      <c r="M92" s="180"/>
      <c r="N92" s="208"/>
    </row>
    <row r="93" spans="1:14" ht="48.75" hidden="1" customHeight="1">
      <c r="A93" s="109"/>
      <c r="B93" s="63" t="s">
        <v>68</v>
      </c>
      <c r="C93" s="16">
        <v>910</v>
      </c>
      <c r="D93" s="16">
        <v>702</v>
      </c>
      <c r="E93" s="1" t="s">
        <v>40</v>
      </c>
      <c r="F93" s="16">
        <v>243</v>
      </c>
      <c r="G93" s="141"/>
      <c r="H93" s="146"/>
      <c r="I93" s="141"/>
      <c r="J93" s="141"/>
      <c r="K93" s="141"/>
      <c r="L93" s="141"/>
      <c r="M93" s="180" t="s">
        <v>41</v>
      </c>
      <c r="N93" s="208"/>
    </row>
    <row r="94" spans="1:14" ht="36.75" hidden="1" customHeight="1">
      <c r="A94" s="104"/>
      <c r="B94" s="63" t="s">
        <v>68</v>
      </c>
      <c r="C94" s="16">
        <v>910</v>
      </c>
      <c r="D94" s="16">
        <v>702</v>
      </c>
      <c r="E94" s="1" t="s">
        <v>43</v>
      </c>
      <c r="F94" s="16">
        <v>243</v>
      </c>
      <c r="G94" s="141"/>
      <c r="H94" s="146"/>
      <c r="I94" s="141"/>
      <c r="J94" s="141"/>
      <c r="K94" s="141"/>
      <c r="L94" s="141"/>
      <c r="M94" s="180"/>
      <c r="N94" s="208"/>
    </row>
    <row r="95" spans="1:14" ht="36.75" customHeight="1">
      <c r="A95" s="104" t="s">
        <v>325</v>
      </c>
      <c r="B95" s="63" t="s">
        <v>71</v>
      </c>
      <c r="C95" s="16">
        <v>904</v>
      </c>
      <c r="D95" s="16">
        <v>702</v>
      </c>
      <c r="E95" s="1" t="s">
        <v>42</v>
      </c>
      <c r="F95" s="16">
        <v>611</v>
      </c>
      <c r="G95" s="141">
        <v>6311131</v>
      </c>
      <c r="H95" s="146">
        <f>4441000+886780</f>
        <v>5327780</v>
      </c>
      <c r="I95" s="141">
        <v>5889000</v>
      </c>
      <c r="J95" s="141">
        <v>5558000</v>
      </c>
      <c r="K95" s="141">
        <v>3176000</v>
      </c>
      <c r="L95" s="159">
        <v>1588000</v>
      </c>
      <c r="M95" s="67"/>
      <c r="N95" s="208"/>
    </row>
    <row r="96" spans="1:14" ht="68.25" customHeight="1">
      <c r="A96" s="87" t="s">
        <v>326</v>
      </c>
      <c r="B96" s="63" t="s">
        <v>70</v>
      </c>
      <c r="C96" s="16">
        <v>904</v>
      </c>
      <c r="D96" s="16">
        <v>702</v>
      </c>
      <c r="E96" s="1" t="s">
        <v>143</v>
      </c>
      <c r="F96" s="16">
        <v>611</v>
      </c>
      <c r="G96" s="141">
        <v>2282600</v>
      </c>
      <c r="H96" s="146">
        <v>2390633</v>
      </c>
      <c r="I96" s="141">
        <v>3848184</v>
      </c>
      <c r="J96" s="141">
        <v>4353184</v>
      </c>
      <c r="K96" s="141">
        <v>4353184</v>
      </c>
      <c r="L96" s="141">
        <v>4353184</v>
      </c>
      <c r="M96" s="180" t="s">
        <v>171</v>
      </c>
      <c r="N96" s="208"/>
    </row>
    <row r="97" spans="1:14" ht="49.5" hidden="1" customHeight="1">
      <c r="A97" s="87" t="s">
        <v>155</v>
      </c>
      <c r="B97" s="63" t="s">
        <v>70</v>
      </c>
      <c r="C97" s="16"/>
      <c r="D97" s="16"/>
      <c r="E97" s="1"/>
      <c r="F97" s="16"/>
      <c r="G97" s="141"/>
      <c r="H97" s="146"/>
      <c r="I97" s="141"/>
      <c r="J97" s="141"/>
      <c r="K97" s="141"/>
      <c r="L97" s="141"/>
      <c r="M97" s="180"/>
      <c r="N97" s="208"/>
    </row>
    <row r="98" spans="1:14" ht="48" hidden="1" customHeight="1">
      <c r="A98" s="87" t="s">
        <v>189</v>
      </c>
      <c r="B98" s="63" t="s">
        <v>71</v>
      </c>
      <c r="C98" s="16">
        <v>904</v>
      </c>
      <c r="D98" s="16">
        <v>702</v>
      </c>
      <c r="E98" s="1" t="s">
        <v>42</v>
      </c>
      <c r="F98" s="16">
        <v>611</v>
      </c>
      <c r="G98" s="141"/>
      <c r="H98" s="146"/>
      <c r="I98" s="141"/>
      <c r="J98" s="141"/>
      <c r="K98" s="141"/>
      <c r="L98" s="141"/>
      <c r="M98" s="180"/>
      <c r="N98" s="208"/>
    </row>
    <row r="99" spans="1:14" ht="72" customHeight="1">
      <c r="A99" s="87" t="s">
        <v>327</v>
      </c>
      <c r="B99" s="63" t="s">
        <v>71</v>
      </c>
      <c r="C99" s="16">
        <v>904</v>
      </c>
      <c r="D99" s="16">
        <v>702</v>
      </c>
      <c r="E99" s="1" t="s">
        <v>199</v>
      </c>
      <c r="F99" s="16"/>
      <c r="G99" s="141">
        <v>0</v>
      </c>
      <c r="H99" s="146">
        <v>1000000</v>
      </c>
      <c r="I99" s="141">
        <v>20000</v>
      </c>
      <c r="J99" s="141">
        <v>0</v>
      </c>
      <c r="K99" s="141">
        <v>0</v>
      </c>
      <c r="L99" s="158">
        <v>0</v>
      </c>
      <c r="M99" s="68" t="s">
        <v>222</v>
      </c>
      <c r="N99" s="208"/>
    </row>
    <row r="100" spans="1:14" ht="80.25" customHeight="1">
      <c r="A100" s="87" t="s">
        <v>328</v>
      </c>
      <c r="B100" s="63" t="s">
        <v>88</v>
      </c>
      <c r="C100" s="16">
        <v>904</v>
      </c>
      <c r="D100" s="16">
        <v>702</v>
      </c>
      <c r="E100" s="1" t="s">
        <v>200</v>
      </c>
      <c r="F100" s="16"/>
      <c r="G100" s="141">
        <v>0</v>
      </c>
      <c r="H100" s="146">
        <v>20409</v>
      </c>
      <c r="I100" s="141">
        <v>0</v>
      </c>
      <c r="J100" s="141">
        <v>0</v>
      </c>
      <c r="K100" s="141">
        <v>0</v>
      </c>
      <c r="L100" s="158">
        <v>0</v>
      </c>
      <c r="M100" s="68" t="s">
        <v>223</v>
      </c>
      <c r="N100" s="208"/>
    </row>
    <row r="101" spans="1:14" ht="42.75" customHeight="1">
      <c r="A101" s="87" t="s">
        <v>329</v>
      </c>
      <c r="B101" s="63" t="s">
        <v>71</v>
      </c>
      <c r="C101" s="16">
        <v>904</v>
      </c>
      <c r="D101" s="16">
        <v>702</v>
      </c>
      <c r="E101" s="1" t="s">
        <v>115</v>
      </c>
      <c r="F101" s="16">
        <v>611</v>
      </c>
      <c r="G101" s="141">
        <v>4000</v>
      </c>
      <c r="H101" s="146">
        <v>0</v>
      </c>
      <c r="I101" s="146">
        <v>0</v>
      </c>
      <c r="J101" s="146">
        <v>0</v>
      </c>
      <c r="K101" s="146">
        <v>0</v>
      </c>
      <c r="L101" s="146">
        <v>0</v>
      </c>
      <c r="M101" s="63" t="s">
        <v>172</v>
      </c>
      <c r="N101" s="208"/>
    </row>
    <row r="102" spans="1:14" ht="49.5" customHeight="1">
      <c r="A102" s="87" t="s">
        <v>330</v>
      </c>
      <c r="B102" s="63" t="s">
        <v>70</v>
      </c>
      <c r="C102" s="16">
        <v>904</v>
      </c>
      <c r="D102" s="16">
        <v>702</v>
      </c>
      <c r="E102" s="1" t="s">
        <v>116</v>
      </c>
      <c r="F102" s="16">
        <v>611</v>
      </c>
      <c r="G102" s="141">
        <v>82</v>
      </c>
      <c r="H102" s="146">
        <v>0</v>
      </c>
      <c r="I102" s="146">
        <v>0</v>
      </c>
      <c r="J102" s="146">
        <v>0</v>
      </c>
      <c r="K102" s="146">
        <v>0</v>
      </c>
      <c r="L102" s="146">
        <v>0</v>
      </c>
      <c r="M102" s="63" t="s">
        <v>173</v>
      </c>
      <c r="N102" s="208"/>
    </row>
    <row r="103" spans="1:14" ht="47.25" hidden="1" customHeight="1">
      <c r="A103" s="101" t="s">
        <v>59</v>
      </c>
      <c r="B103" s="63" t="s">
        <v>72</v>
      </c>
      <c r="C103" s="16">
        <v>904</v>
      </c>
      <c r="D103" s="16">
        <v>702</v>
      </c>
      <c r="E103" s="1" t="s">
        <v>65</v>
      </c>
      <c r="F103" s="16">
        <v>612</v>
      </c>
      <c r="G103" s="141"/>
      <c r="H103" s="146"/>
      <c r="I103" s="141"/>
      <c r="J103" s="141"/>
      <c r="K103" s="141"/>
      <c r="L103" s="141"/>
      <c r="M103" s="63" t="s">
        <v>60</v>
      </c>
      <c r="N103" s="208"/>
    </row>
    <row r="104" spans="1:14" ht="31.5" hidden="1" customHeight="1">
      <c r="A104" s="181" t="s">
        <v>52</v>
      </c>
      <c r="B104" s="63" t="s">
        <v>68</v>
      </c>
      <c r="C104" s="16">
        <v>910</v>
      </c>
      <c r="D104" s="16">
        <v>702</v>
      </c>
      <c r="E104" s="1" t="s">
        <v>54</v>
      </c>
      <c r="F104" s="16">
        <v>243</v>
      </c>
      <c r="G104" s="142"/>
      <c r="H104" s="160"/>
      <c r="I104" s="142"/>
      <c r="J104" s="142"/>
      <c r="K104" s="142"/>
      <c r="L104" s="142"/>
      <c r="M104" s="180" t="s">
        <v>56</v>
      </c>
      <c r="N104" s="208"/>
    </row>
    <row r="105" spans="1:14" ht="31.5" hidden="1" customHeight="1">
      <c r="A105" s="181"/>
      <c r="B105" s="63" t="s">
        <v>70</v>
      </c>
      <c r="C105" s="16">
        <v>904</v>
      </c>
      <c r="D105" s="16">
        <v>702</v>
      </c>
      <c r="E105" s="1" t="s">
        <v>54</v>
      </c>
      <c r="F105" s="16">
        <v>612</v>
      </c>
      <c r="G105" s="142"/>
      <c r="H105" s="160"/>
      <c r="I105" s="142"/>
      <c r="J105" s="142"/>
      <c r="K105" s="142"/>
      <c r="L105" s="142"/>
      <c r="M105" s="180"/>
      <c r="N105" s="208"/>
    </row>
    <row r="106" spans="1:14" ht="15.75" hidden="1" customHeight="1">
      <c r="A106" s="181"/>
      <c r="B106" s="63" t="s">
        <v>53</v>
      </c>
      <c r="C106" s="16">
        <v>910</v>
      </c>
      <c r="D106" s="16">
        <v>702</v>
      </c>
      <c r="E106" s="1" t="s">
        <v>55</v>
      </c>
      <c r="F106" s="16">
        <v>243</v>
      </c>
      <c r="G106" s="142"/>
      <c r="H106" s="160"/>
      <c r="I106" s="142"/>
      <c r="J106" s="142"/>
      <c r="K106" s="142"/>
      <c r="L106" s="142"/>
      <c r="M106" s="180"/>
      <c r="N106" s="208"/>
    </row>
    <row r="107" spans="1:14" ht="31.5" hidden="1" customHeight="1">
      <c r="A107" s="181"/>
      <c r="B107" s="63" t="s">
        <v>73</v>
      </c>
      <c r="C107" s="16">
        <v>904</v>
      </c>
      <c r="D107" s="16">
        <v>702</v>
      </c>
      <c r="E107" s="1" t="s">
        <v>55</v>
      </c>
      <c r="F107" s="16">
        <v>612</v>
      </c>
      <c r="G107" s="142"/>
      <c r="H107" s="160"/>
      <c r="I107" s="142"/>
      <c r="J107" s="142"/>
      <c r="K107" s="142"/>
      <c r="L107" s="142"/>
      <c r="M107" s="180"/>
      <c r="N107" s="208"/>
    </row>
    <row r="108" spans="1:14" ht="31.5" hidden="1" customHeight="1">
      <c r="A108" s="181"/>
      <c r="B108" s="63" t="s">
        <v>72</v>
      </c>
      <c r="C108" s="16">
        <v>904</v>
      </c>
      <c r="D108" s="16">
        <v>702</v>
      </c>
      <c r="E108" s="1" t="s">
        <v>55</v>
      </c>
      <c r="F108" s="16">
        <v>612</v>
      </c>
      <c r="G108" s="142"/>
      <c r="H108" s="160"/>
      <c r="I108" s="142"/>
      <c r="J108" s="142"/>
      <c r="K108" s="142"/>
      <c r="L108" s="142"/>
      <c r="M108" s="180"/>
      <c r="N108" s="208"/>
    </row>
    <row r="109" spans="1:14" ht="45.75" hidden="1" customHeight="1">
      <c r="A109" s="182" t="s">
        <v>100</v>
      </c>
      <c r="B109" s="63" t="s">
        <v>71</v>
      </c>
      <c r="C109" s="16">
        <v>904</v>
      </c>
      <c r="D109" s="16">
        <v>702</v>
      </c>
      <c r="E109" s="1" t="s">
        <v>101</v>
      </c>
      <c r="F109" s="16">
        <v>612</v>
      </c>
      <c r="G109" s="141"/>
      <c r="H109" s="146"/>
      <c r="I109" s="141"/>
      <c r="J109" s="141"/>
      <c r="K109" s="141"/>
      <c r="L109" s="159"/>
      <c r="M109" s="184" t="s">
        <v>103</v>
      </c>
      <c r="N109" s="208"/>
    </row>
    <row r="110" spans="1:14" ht="48" hidden="1" customHeight="1">
      <c r="A110" s="187"/>
      <c r="B110" s="63" t="s">
        <v>74</v>
      </c>
      <c r="C110" s="16">
        <v>904</v>
      </c>
      <c r="D110" s="16">
        <v>702</v>
      </c>
      <c r="E110" s="1" t="s">
        <v>101</v>
      </c>
      <c r="F110" s="16">
        <v>612</v>
      </c>
      <c r="G110" s="141"/>
      <c r="H110" s="146"/>
      <c r="I110" s="141"/>
      <c r="J110" s="141"/>
      <c r="K110" s="141"/>
      <c r="L110" s="161"/>
      <c r="M110" s="185"/>
      <c r="N110" s="208"/>
    </row>
    <row r="111" spans="1:14" ht="45" hidden="1" customHeight="1">
      <c r="A111" s="183"/>
      <c r="B111" s="63" t="s">
        <v>70</v>
      </c>
      <c r="C111" s="16">
        <v>904</v>
      </c>
      <c r="D111" s="16">
        <v>702</v>
      </c>
      <c r="E111" s="1" t="s">
        <v>101</v>
      </c>
      <c r="F111" s="16">
        <v>612</v>
      </c>
      <c r="G111" s="141"/>
      <c r="H111" s="146"/>
      <c r="I111" s="141"/>
      <c r="J111" s="141"/>
      <c r="K111" s="141"/>
      <c r="L111" s="158"/>
      <c r="M111" s="186"/>
      <c r="N111" s="208"/>
    </row>
    <row r="112" spans="1:14" ht="36.75" customHeight="1">
      <c r="A112" s="182" t="s">
        <v>331</v>
      </c>
      <c r="B112" s="63" t="s">
        <v>74</v>
      </c>
      <c r="C112" s="16">
        <v>904</v>
      </c>
      <c r="D112" s="16" t="s">
        <v>123</v>
      </c>
      <c r="E112" s="1" t="s">
        <v>129</v>
      </c>
      <c r="F112" s="16">
        <v>612</v>
      </c>
      <c r="G112" s="141">
        <v>31132971</v>
      </c>
      <c r="H112" s="146">
        <v>34573000</v>
      </c>
      <c r="I112" s="141">
        <v>36770091</v>
      </c>
      <c r="J112" s="141">
        <v>43776211</v>
      </c>
      <c r="K112" s="141">
        <v>41611425</v>
      </c>
      <c r="L112" s="141">
        <v>39303058</v>
      </c>
      <c r="M112" s="184" t="s">
        <v>131</v>
      </c>
      <c r="N112" s="208"/>
    </row>
    <row r="113" spans="1:14" ht="33.75" customHeight="1">
      <c r="A113" s="187"/>
      <c r="B113" s="63" t="s">
        <v>71</v>
      </c>
      <c r="C113" s="16">
        <v>904</v>
      </c>
      <c r="D113" s="16" t="s">
        <v>123</v>
      </c>
      <c r="E113" s="1" t="s">
        <v>129</v>
      </c>
      <c r="F113" s="16">
        <v>612</v>
      </c>
      <c r="G113" s="141">
        <v>3459219</v>
      </c>
      <c r="H113" s="146">
        <v>3842000</v>
      </c>
      <c r="I113" s="141">
        <v>371415.06</v>
      </c>
      <c r="J113" s="141">
        <v>442183.95</v>
      </c>
      <c r="K113" s="141">
        <v>420317.42</v>
      </c>
      <c r="L113" s="141">
        <v>397000.59</v>
      </c>
      <c r="M113" s="185"/>
      <c r="N113" s="208"/>
    </row>
    <row r="114" spans="1:14" ht="32.25" customHeight="1">
      <c r="A114" s="183"/>
      <c r="B114" s="63" t="s">
        <v>88</v>
      </c>
      <c r="C114" s="16">
        <v>904</v>
      </c>
      <c r="D114" s="16" t="s">
        <v>123</v>
      </c>
      <c r="E114" s="1" t="s">
        <v>129</v>
      </c>
      <c r="F114" s="16">
        <v>612</v>
      </c>
      <c r="G114" s="141">
        <v>349417</v>
      </c>
      <c r="H114" s="146">
        <f>388031-0.7</f>
        <v>388030.3</v>
      </c>
      <c r="I114" s="141">
        <v>375166.73</v>
      </c>
      <c r="J114" s="141">
        <v>446650.45</v>
      </c>
      <c r="K114" s="141">
        <v>424563.05</v>
      </c>
      <c r="L114" s="141">
        <v>401010.69</v>
      </c>
      <c r="M114" s="186"/>
      <c r="N114" s="208"/>
    </row>
    <row r="115" spans="1:14" ht="31.5" hidden="1" customHeight="1">
      <c r="A115" s="181" t="s">
        <v>332</v>
      </c>
      <c r="B115" s="63" t="s">
        <v>68</v>
      </c>
      <c r="C115" s="16">
        <v>910</v>
      </c>
      <c r="D115" s="16">
        <v>702</v>
      </c>
      <c r="E115" s="1" t="s">
        <v>44</v>
      </c>
      <c r="F115" s="16">
        <v>243</v>
      </c>
      <c r="G115" s="142"/>
      <c r="H115" s="160"/>
      <c r="I115" s="142"/>
      <c r="J115" s="142"/>
      <c r="K115" s="142"/>
      <c r="L115" s="142"/>
      <c r="M115" s="180" t="s">
        <v>234</v>
      </c>
      <c r="N115" s="208"/>
    </row>
    <row r="116" spans="1:14" ht="31.5" customHeight="1">
      <c r="A116" s="181"/>
      <c r="B116" s="63" t="s">
        <v>70</v>
      </c>
      <c r="C116" s="16">
        <v>904</v>
      </c>
      <c r="D116" s="1" t="s">
        <v>269</v>
      </c>
      <c r="E116" s="1" t="s">
        <v>242</v>
      </c>
      <c r="F116" s="16">
        <v>612</v>
      </c>
      <c r="G116" s="141">
        <v>0</v>
      </c>
      <c r="H116" s="146">
        <v>350952</v>
      </c>
      <c r="I116" s="141">
        <v>0</v>
      </c>
      <c r="J116" s="141">
        <v>0</v>
      </c>
      <c r="K116" s="141">
        <v>0</v>
      </c>
      <c r="L116" s="141">
        <v>0</v>
      </c>
      <c r="M116" s="180"/>
      <c r="N116" s="208"/>
    </row>
    <row r="117" spans="1:14" ht="31.5" hidden="1" customHeight="1">
      <c r="A117" s="181"/>
      <c r="B117" s="63" t="s">
        <v>68</v>
      </c>
      <c r="C117" s="16">
        <v>910</v>
      </c>
      <c r="D117" s="1" t="s">
        <v>270</v>
      </c>
      <c r="E117" s="1" t="s">
        <v>243</v>
      </c>
      <c r="F117" s="16">
        <v>414</v>
      </c>
      <c r="G117" s="141"/>
      <c r="H117" s="146"/>
      <c r="I117" s="141">
        <v>0</v>
      </c>
      <c r="J117" s="141">
        <v>0</v>
      </c>
      <c r="K117" s="141">
        <v>0</v>
      </c>
      <c r="L117" s="141">
        <v>0</v>
      </c>
      <c r="M117" s="180"/>
      <c r="N117" s="208"/>
    </row>
    <row r="118" spans="1:14" ht="15.75" hidden="1" customHeight="1">
      <c r="A118" s="181"/>
      <c r="B118" s="200" t="s">
        <v>76</v>
      </c>
      <c r="C118" s="65">
        <v>910</v>
      </c>
      <c r="D118" s="1" t="s">
        <v>271</v>
      </c>
      <c r="E118" s="1" t="s">
        <v>244</v>
      </c>
      <c r="F118" s="65">
        <v>414</v>
      </c>
      <c r="G118" s="141"/>
      <c r="H118" s="146"/>
      <c r="I118" s="141">
        <v>0</v>
      </c>
      <c r="J118" s="141">
        <v>0</v>
      </c>
      <c r="K118" s="141">
        <v>0</v>
      </c>
      <c r="L118" s="141">
        <v>0</v>
      </c>
      <c r="M118" s="180"/>
      <c r="N118" s="208"/>
    </row>
    <row r="119" spans="1:14" ht="15.75" hidden="1" customHeight="1">
      <c r="A119" s="181"/>
      <c r="B119" s="200"/>
      <c r="C119" s="65">
        <v>910</v>
      </c>
      <c r="D119" s="1" t="s">
        <v>272</v>
      </c>
      <c r="E119" s="1" t="s">
        <v>245</v>
      </c>
      <c r="F119" s="65">
        <v>243</v>
      </c>
      <c r="G119" s="141"/>
      <c r="H119" s="146"/>
      <c r="I119" s="141">
        <v>0</v>
      </c>
      <c r="J119" s="141">
        <v>0</v>
      </c>
      <c r="K119" s="141">
        <v>0</v>
      </c>
      <c r="L119" s="141">
        <v>0</v>
      </c>
      <c r="M119" s="180"/>
      <c r="N119" s="208"/>
    </row>
    <row r="120" spans="1:14" ht="31.5" customHeight="1">
      <c r="A120" s="181"/>
      <c r="B120" s="63" t="s">
        <v>72</v>
      </c>
      <c r="C120" s="65">
        <v>904</v>
      </c>
      <c r="D120" s="1" t="s">
        <v>269</v>
      </c>
      <c r="E120" s="1" t="s">
        <v>242</v>
      </c>
      <c r="F120" s="65">
        <v>612</v>
      </c>
      <c r="G120" s="141">
        <v>0</v>
      </c>
      <c r="H120" s="146">
        <f>3474422.22+0.01</f>
        <v>3474422.23</v>
      </c>
      <c r="I120" s="141">
        <v>0</v>
      </c>
      <c r="J120" s="141">
        <v>0</v>
      </c>
      <c r="K120" s="141">
        <v>0</v>
      </c>
      <c r="L120" s="141">
        <v>0</v>
      </c>
      <c r="M120" s="180"/>
      <c r="N120" s="208"/>
    </row>
    <row r="121" spans="1:14" ht="31.5" customHeight="1">
      <c r="A121" s="181"/>
      <c r="B121" s="63" t="s">
        <v>74</v>
      </c>
      <c r="C121" s="65">
        <v>904</v>
      </c>
      <c r="D121" s="1" t="s">
        <v>269</v>
      </c>
      <c r="E121" s="1" t="s">
        <v>242</v>
      </c>
      <c r="F121" s="65">
        <v>612</v>
      </c>
      <c r="G121" s="141">
        <v>0</v>
      </c>
      <c r="H121" s="146">
        <v>31269800</v>
      </c>
      <c r="I121" s="141">
        <v>0</v>
      </c>
      <c r="J121" s="141">
        <v>0</v>
      </c>
      <c r="K121" s="141">
        <v>0</v>
      </c>
      <c r="L121" s="141">
        <v>0</v>
      </c>
      <c r="M121" s="180"/>
      <c r="N121" s="208"/>
    </row>
    <row r="122" spans="1:14" ht="15.75" hidden="1" customHeight="1">
      <c r="A122" s="181"/>
      <c r="B122" s="180" t="s">
        <v>75</v>
      </c>
      <c r="C122" s="65">
        <v>910</v>
      </c>
      <c r="D122" s="1" t="s">
        <v>273</v>
      </c>
      <c r="E122" s="2" t="s">
        <v>45</v>
      </c>
      <c r="F122" s="65">
        <v>243</v>
      </c>
      <c r="G122" s="142"/>
      <c r="H122" s="160"/>
      <c r="I122" s="142"/>
      <c r="J122" s="142"/>
      <c r="K122" s="142"/>
      <c r="L122" s="142"/>
      <c r="M122" s="180"/>
      <c r="N122" s="208"/>
    </row>
    <row r="123" spans="1:14" ht="15.75" hidden="1" customHeight="1">
      <c r="A123" s="181"/>
      <c r="B123" s="180"/>
      <c r="C123" s="65">
        <v>910</v>
      </c>
      <c r="D123" s="1" t="s">
        <v>268</v>
      </c>
      <c r="E123" s="2" t="s">
        <v>45</v>
      </c>
      <c r="F123" s="65">
        <v>414</v>
      </c>
      <c r="G123" s="142"/>
      <c r="H123" s="160"/>
      <c r="I123" s="142"/>
      <c r="J123" s="142"/>
      <c r="K123" s="142"/>
      <c r="L123" s="142"/>
      <c r="M123" s="180"/>
      <c r="N123" s="208"/>
    </row>
    <row r="124" spans="1:14" ht="31.5" hidden="1" customHeight="1">
      <c r="A124" s="181" t="s">
        <v>67</v>
      </c>
      <c r="B124" s="63" t="s">
        <v>68</v>
      </c>
      <c r="C124" s="16">
        <v>910</v>
      </c>
      <c r="D124" s="1" t="s">
        <v>274</v>
      </c>
      <c r="E124" s="1" t="s">
        <v>44</v>
      </c>
      <c r="F124" s="16">
        <v>243</v>
      </c>
      <c r="G124" s="141"/>
      <c r="H124" s="146"/>
      <c r="I124" s="141"/>
      <c r="J124" s="141"/>
      <c r="K124" s="141"/>
      <c r="L124" s="141"/>
      <c r="M124" s="180" t="s">
        <v>98</v>
      </c>
      <c r="N124" s="208"/>
    </row>
    <row r="125" spans="1:14" ht="31.5" hidden="1" customHeight="1">
      <c r="A125" s="181"/>
      <c r="B125" s="63" t="s">
        <v>76</v>
      </c>
      <c r="C125" s="16">
        <v>910</v>
      </c>
      <c r="D125" s="1" t="s">
        <v>275</v>
      </c>
      <c r="E125" s="1" t="s">
        <v>44</v>
      </c>
      <c r="F125" s="16">
        <v>243</v>
      </c>
      <c r="G125" s="142"/>
      <c r="H125" s="160"/>
      <c r="I125" s="142"/>
      <c r="J125" s="142"/>
      <c r="K125" s="142"/>
      <c r="L125" s="142"/>
      <c r="M125" s="180"/>
      <c r="N125" s="208"/>
    </row>
    <row r="126" spans="1:14" ht="36" hidden="1" customHeight="1">
      <c r="A126" s="181"/>
      <c r="B126" s="63" t="s">
        <v>75</v>
      </c>
      <c r="C126" s="16">
        <v>910</v>
      </c>
      <c r="D126" s="1" t="s">
        <v>276</v>
      </c>
      <c r="E126" s="1" t="s">
        <v>44</v>
      </c>
      <c r="F126" s="16">
        <v>243</v>
      </c>
      <c r="G126" s="142"/>
      <c r="H126" s="160"/>
      <c r="I126" s="142"/>
      <c r="J126" s="142"/>
      <c r="K126" s="142"/>
      <c r="L126" s="142"/>
      <c r="M126" s="180"/>
      <c r="N126" s="208"/>
    </row>
    <row r="127" spans="1:14" ht="31.5" hidden="1" customHeight="1">
      <c r="A127" s="181"/>
      <c r="B127" s="63" t="s">
        <v>70</v>
      </c>
      <c r="C127" s="16">
        <v>904</v>
      </c>
      <c r="D127" s="1" t="s">
        <v>277</v>
      </c>
      <c r="E127" s="1" t="s">
        <v>44</v>
      </c>
      <c r="F127" s="16">
        <v>612</v>
      </c>
      <c r="G127" s="142"/>
      <c r="H127" s="160"/>
      <c r="I127" s="142"/>
      <c r="J127" s="142"/>
      <c r="K127" s="142"/>
      <c r="L127" s="142"/>
      <c r="M127" s="180"/>
      <c r="N127" s="208"/>
    </row>
    <row r="128" spans="1:14" ht="31.5" hidden="1" customHeight="1">
      <c r="A128" s="181"/>
      <c r="B128" s="63" t="s">
        <v>72</v>
      </c>
      <c r="C128" s="16">
        <v>904</v>
      </c>
      <c r="D128" s="1" t="s">
        <v>278</v>
      </c>
      <c r="E128" s="1" t="s">
        <v>44</v>
      </c>
      <c r="F128" s="16">
        <v>612</v>
      </c>
      <c r="G128" s="142"/>
      <c r="H128" s="160"/>
      <c r="I128" s="142"/>
      <c r="J128" s="142"/>
      <c r="K128" s="142"/>
      <c r="L128" s="142"/>
      <c r="M128" s="180"/>
      <c r="N128" s="208"/>
    </row>
    <row r="129" spans="1:14" ht="31.5" hidden="1" customHeight="1">
      <c r="A129" s="181"/>
      <c r="B129" s="63" t="s">
        <v>73</v>
      </c>
      <c r="C129" s="16">
        <v>904</v>
      </c>
      <c r="D129" s="1" t="s">
        <v>279</v>
      </c>
      <c r="E129" s="1" t="s">
        <v>44</v>
      </c>
      <c r="F129" s="16">
        <v>612</v>
      </c>
      <c r="G129" s="142"/>
      <c r="H129" s="160"/>
      <c r="I129" s="142"/>
      <c r="J129" s="142"/>
      <c r="K129" s="142"/>
      <c r="L129" s="142"/>
      <c r="M129" s="180"/>
      <c r="N129" s="208"/>
    </row>
    <row r="130" spans="1:14" ht="53.25" hidden="1" customHeight="1">
      <c r="A130" s="108" t="s">
        <v>89</v>
      </c>
      <c r="B130" s="63"/>
      <c r="C130" s="16"/>
      <c r="D130" s="1" t="s">
        <v>280</v>
      </c>
      <c r="E130" s="9" t="s">
        <v>99</v>
      </c>
      <c r="F130" s="16"/>
      <c r="G130" s="142">
        <f t="shared" ref="G130:K130" si="18">G131+G132+G133</f>
        <v>0</v>
      </c>
      <c r="H130" s="160">
        <f t="shared" si="18"/>
        <v>0</v>
      </c>
      <c r="I130" s="142">
        <f t="shared" si="18"/>
        <v>0</v>
      </c>
      <c r="J130" s="142">
        <f t="shared" si="18"/>
        <v>0</v>
      </c>
      <c r="K130" s="142">
        <f t="shared" si="18"/>
        <v>0</v>
      </c>
      <c r="L130" s="142"/>
      <c r="M130" s="63"/>
      <c r="N130" s="70"/>
    </row>
    <row r="131" spans="1:14" ht="83.25" hidden="1" customHeight="1">
      <c r="A131" s="182" t="s">
        <v>97</v>
      </c>
      <c r="B131" s="63" t="s">
        <v>70</v>
      </c>
      <c r="C131" s="16">
        <v>904</v>
      </c>
      <c r="D131" s="1" t="s">
        <v>281</v>
      </c>
      <c r="E131" s="1" t="s">
        <v>90</v>
      </c>
      <c r="F131" s="16">
        <v>612</v>
      </c>
      <c r="G131" s="141"/>
      <c r="H131" s="146"/>
      <c r="I131" s="141"/>
      <c r="J131" s="141"/>
      <c r="K131" s="141"/>
      <c r="L131" s="141"/>
      <c r="M131" s="63"/>
      <c r="N131" s="70"/>
    </row>
    <row r="132" spans="1:14" ht="39.75" hidden="1" customHeight="1">
      <c r="A132" s="187"/>
      <c r="B132" s="63" t="s">
        <v>71</v>
      </c>
      <c r="C132" s="16">
        <v>904</v>
      </c>
      <c r="D132" s="1" t="s">
        <v>282</v>
      </c>
      <c r="E132" s="1" t="s">
        <v>90</v>
      </c>
      <c r="F132" s="16">
        <v>612</v>
      </c>
      <c r="G132" s="141"/>
      <c r="H132" s="146"/>
      <c r="I132" s="141"/>
      <c r="J132" s="141"/>
      <c r="K132" s="141"/>
      <c r="L132" s="141"/>
      <c r="M132" s="63"/>
      <c r="N132" s="70"/>
    </row>
    <row r="133" spans="1:14" ht="73.5" hidden="1" customHeight="1">
      <c r="A133" s="187"/>
      <c r="B133" s="63" t="s">
        <v>74</v>
      </c>
      <c r="C133" s="16">
        <v>904</v>
      </c>
      <c r="D133" s="1" t="s">
        <v>283</v>
      </c>
      <c r="E133" s="1" t="s">
        <v>90</v>
      </c>
      <c r="F133" s="16">
        <v>612</v>
      </c>
      <c r="G133" s="141"/>
      <c r="H133" s="146"/>
      <c r="I133" s="141"/>
      <c r="J133" s="141"/>
      <c r="K133" s="141"/>
      <c r="L133" s="141"/>
      <c r="M133" s="63"/>
      <c r="N133" s="70"/>
    </row>
    <row r="134" spans="1:14" ht="32.25" hidden="1" customHeight="1">
      <c r="A134" s="187"/>
      <c r="B134" s="63" t="s">
        <v>68</v>
      </c>
      <c r="C134" s="16">
        <v>910</v>
      </c>
      <c r="D134" s="1" t="s">
        <v>284</v>
      </c>
      <c r="E134" s="1" t="s">
        <v>90</v>
      </c>
      <c r="F134" s="16">
        <v>243</v>
      </c>
      <c r="G134" s="141"/>
      <c r="H134" s="146"/>
      <c r="I134" s="141"/>
      <c r="J134" s="141"/>
      <c r="K134" s="141"/>
      <c r="L134" s="141"/>
      <c r="M134" s="180" t="s">
        <v>104</v>
      </c>
      <c r="N134" s="70"/>
    </row>
    <row r="135" spans="1:14" ht="31.5" hidden="1" customHeight="1">
      <c r="A135" s="187"/>
      <c r="B135" s="63" t="s">
        <v>76</v>
      </c>
      <c r="C135" s="16">
        <v>910</v>
      </c>
      <c r="D135" s="1" t="s">
        <v>285</v>
      </c>
      <c r="E135" s="1" t="s">
        <v>90</v>
      </c>
      <c r="F135" s="16">
        <v>243</v>
      </c>
      <c r="G135" s="141"/>
      <c r="H135" s="146"/>
      <c r="I135" s="141"/>
      <c r="J135" s="141"/>
      <c r="K135" s="141"/>
      <c r="L135" s="141"/>
      <c r="M135" s="180"/>
      <c r="N135" s="70"/>
    </row>
    <row r="136" spans="1:14" ht="31.5" hidden="1" customHeight="1">
      <c r="A136" s="183"/>
      <c r="B136" s="63" t="s">
        <v>75</v>
      </c>
      <c r="C136" s="16">
        <v>910</v>
      </c>
      <c r="D136" s="1" t="s">
        <v>286</v>
      </c>
      <c r="E136" s="1" t="s">
        <v>90</v>
      </c>
      <c r="F136" s="16">
        <v>243</v>
      </c>
      <c r="G136" s="141"/>
      <c r="H136" s="146"/>
      <c r="I136" s="141"/>
      <c r="J136" s="141"/>
      <c r="K136" s="141"/>
      <c r="L136" s="141"/>
      <c r="M136" s="180"/>
      <c r="N136" s="71"/>
    </row>
    <row r="137" spans="1:14" ht="67.5" customHeight="1">
      <c r="A137" s="101" t="s">
        <v>333</v>
      </c>
      <c r="B137" s="63" t="s">
        <v>88</v>
      </c>
      <c r="C137" s="16">
        <v>904</v>
      </c>
      <c r="D137" s="1" t="s">
        <v>269</v>
      </c>
      <c r="E137" s="1" t="s">
        <v>211</v>
      </c>
      <c r="F137" s="16">
        <v>412</v>
      </c>
      <c r="G137" s="141">
        <v>152100</v>
      </c>
      <c r="H137" s="146">
        <f>115130.4+119849.6</f>
        <v>234980</v>
      </c>
      <c r="I137" s="141">
        <v>0</v>
      </c>
      <c r="J137" s="141">
        <v>0</v>
      </c>
      <c r="K137" s="141">
        <v>0</v>
      </c>
      <c r="L137" s="141">
        <v>0</v>
      </c>
      <c r="M137" s="63" t="s">
        <v>212</v>
      </c>
      <c r="N137" s="71"/>
    </row>
    <row r="138" spans="1:14" ht="82.5" hidden="1" customHeight="1">
      <c r="A138" s="122" t="s">
        <v>333</v>
      </c>
      <c r="B138" s="63"/>
      <c r="C138" s="16"/>
      <c r="D138" s="16"/>
      <c r="E138" s="1"/>
      <c r="F138" s="16">
        <v>612</v>
      </c>
      <c r="G138" s="141"/>
      <c r="H138" s="146"/>
      <c r="I138" s="141"/>
      <c r="J138" s="141"/>
      <c r="K138" s="141"/>
      <c r="L138" s="158"/>
      <c r="M138" s="68"/>
      <c r="N138" s="71"/>
    </row>
    <row r="139" spans="1:14" ht="94.5" hidden="1" customHeight="1">
      <c r="A139" s="122" t="s">
        <v>333</v>
      </c>
      <c r="B139" s="63"/>
      <c r="C139" s="16"/>
      <c r="D139" s="16"/>
      <c r="E139" s="1"/>
      <c r="F139" s="16"/>
      <c r="G139" s="141"/>
      <c r="H139" s="146"/>
      <c r="I139" s="141"/>
      <c r="J139" s="141"/>
      <c r="K139" s="141"/>
      <c r="L139" s="158"/>
      <c r="M139" s="68"/>
      <c r="N139" s="71"/>
    </row>
    <row r="140" spans="1:14" ht="66" customHeight="1">
      <c r="A140" s="123" t="s">
        <v>392</v>
      </c>
      <c r="B140" s="121"/>
      <c r="C140" s="16"/>
      <c r="D140" s="16"/>
      <c r="E140" s="1"/>
      <c r="F140" s="16"/>
      <c r="G140" s="141">
        <v>0</v>
      </c>
      <c r="H140" s="146">
        <v>0</v>
      </c>
      <c r="I140" s="141">
        <v>0</v>
      </c>
      <c r="J140" s="141">
        <v>225000</v>
      </c>
      <c r="K140" s="141">
        <v>225000</v>
      </c>
      <c r="L140" s="158">
        <v>225000</v>
      </c>
      <c r="M140" s="120" t="s">
        <v>387</v>
      </c>
      <c r="N140" s="119"/>
    </row>
    <row r="141" spans="1:14" ht="51.75" customHeight="1">
      <c r="A141" s="108" t="s">
        <v>334</v>
      </c>
      <c r="B141" s="14"/>
      <c r="C141" s="15"/>
      <c r="D141" s="15"/>
      <c r="E141" s="9" t="s">
        <v>21</v>
      </c>
      <c r="F141" s="15"/>
      <c r="G141" s="20">
        <f>SUM(G142:G151)</f>
        <v>47772507.200000003</v>
      </c>
      <c r="H141" s="54">
        <f>SUM(H142:H157)</f>
        <v>51231661.280000001</v>
      </c>
      <c r="I141" s="147">
        <f>SUM(I142:I152)+I156</f>
        <v>51393298.550000012</v>
      </c>
      <c r="J141" s="147">
        <f>SUM(J142:J157)-J152</f>
        <v>57585777.059999995</v>
      </c>
      <c r="K141" s="147">
        <f>SUM(K142:K157)-K152</f>
        <v>53156139.769999996</v>
      </c>
      <c r="L141" s="147">
        <f>SUM(L142:L157)-L152</f>
        <v>53156139.769999996</v>
      </c>
      <c r="M141" s="63"/>
      <c r="N141" s="10"/>
    </row>
    <row r="142" spans="1:14" ht="15.75" customHeight="1">
      <c r="A142" s="182" t="s">
        <v>335</v>
      </c>
      <c r="B142" s="184" t="s">
        <v>70</v>
      </c>
      <c r="C142" s="16">
        <v>904</v>
      </c>
      <c r="D142" s="1" t="s">
        <v>268</v>
      </c>
      <c r="E142" s="1" t="s">
        <v>23</v>
      </c>
      <c r="F142" s="16">
        <v>120</v>
      </c>
      <c r="G142" s="72">
        <v>30197454</v>
      </c>
      <c r="H142" s="73">
        <f>28644103.16+2598554.83+397000</f>
        <v>31639657.990000002</v>
      </c>
      <c r="I142" s="141">
        <v>32810665.390000001</v>
      </c>
      <c r="J142" s="141">
        <v>38632319.259999998</v>
      </c>
      <c r="K142" s="141">
        <v>35412959.32</v>
      </c>
      <c r="L142" s="141">
        <v>35412959.32</v>
      </c>
      <c r="M142" s="63" t="s">
        <v>32</v>
      </c>
      <c r="N142" s="207" t="s">
        <v>80</v>
      </c>
    </row>
    <row r="143" spans="1:14" ht="51.75" customHeight="1">
      <c r="A143" s="187"/>
      <c r="B143" s="185"/>
      <c r="C143" s="16"/>
      <c r="D143" s="16"/>
      <c r="E143" s="1" t="s">
        <v>23</v>
      </c>
      <c r="F143" s="16">
        <v>240</v>
      </c>
      <c r="G143" s="72">
        <v>3973541</v>
      </c>
      <c r="H143" s="73">
        <f>3535571.38+519012+120600+142179-1686.41</f>
        <v>4315675.97</v>
      </c>
      <c r="I143" s="141">
        <v>4000648.74</v>
      </c>
      <c r="J143" s="141">
        <v>3783338.72</v>
      </c>
      <c r="K143" s="141">
        <v>3783338.72</v>
      </c>
      <c r="L143" s="141">
        <v>3783338.72</v>
      </c>
      <c r="M143" s="63" t="s">
        <v>174</v>
      </c>
      <c r="N143" s="208"/>
    </row>
    <row r="144" spans="1:14" ht="20.25" hidden="1" customHeight="1">
      <c r="A144" s="187"/>
      <c r="B144" s="185"/>
      <c r="C144" s="16">
        <v>904</v>
      </c>
      <c r="D144" s="1" t="s">
        <v>268</v>
      </c>
      <c r="E144" s="1" t="s">
        <v>23</v>
      </c>
      <c r="F144" s="16"/>
      <c r="G144" s="72">
        <v>0</v>
      </c>
      <c r="H144" s="73">
        <v>0</v>
      </c>
      <c r="I144" s="141">
        <v>0</v>
      </c>
      <c r="J144" s="141">
        <v>0</v>
      </c>
      <c r="K144" s="141">
        <v>0</v>
      </c>
      <c r="L144" s="141">
        <v>0</v>
      </c>
      <c r="M144" s="63" t="s">
        <v>33</v>
      </c>
      <c r="N144" s="208"/>
    </row>
    <row r="145" spans="1:14" ht="15.75" customHeight="1">
      <c r="A145" s="183"/>
      <c r="B145" s="186"/>
      <c r="C145" s="16">
        <v>904</v>
      </c>
      <c r="D145" s="1" t="s">
        <v>268</v>
      </c>
      <c r="E145" s="1" t="s">
        <v>23</v>
      </c>
      <c r="F145" s="16">
        <v>850</v>
      </c>
      <c r="G145" s="72">
        <v>18120</v>
      </c>
      <c r="H145" s="73">
        <f>15121+600+1686.41</f>
        <v>17407.41</v>
      </c>
      <c r="I145" s="141">
        <v>15121</v>
      </c>
      <c r="J145" s="141">
        <v>0</v>
      </c>
      <c r="K145" s="141">
        <v>0</v>
      </c>
      <c r="L145" s="141">
        <v>0</v>
      </c>
      <c r="M145" s="63" t="s">
        <v>33</v>
      </c>
      <c r="N145" s="208"/>
    </row>
    <row r="146" spans="1:14" ht="23.25" customHeight="1">
      <c r="A146" s="182" t="s">
        <v>379</v>
      </c>
      <c r="B146" s="184" t="s">
        <v>70</v>
      </c>
      <c r="C146" s="16">
        <v>904</v>
      </c>
      <c r="D146" s="1" t="s">
        <v>268</v>
      </c>
      <c r="E146" s="1" t="s">
        <v>216</v>
      </c>
      <c r="F146" s="16">
        <v>120</v>
      </c>
      <c r="G146" s="72">
        <v>632460</v>
      </c>
      <c r="H146" s="73">
        <f>3943385.11+358489.56-43300-961686.29-1242627.61-92480-113087</f>
        <v>1848693.7699999998</v>
      </c>
      <c r="I146" s="141">
        <v>1260215.18</v>
      </c>
      <c r="J146" s="141">
        <v>1099929.6000000001</v>
      </c>
      <c r="K146" s="141">
        <v>1008268.8</v>
      </c>
      <c r="L146" s="141">
        <v>1008268.8</v>
      </c>
      <c r="M146" s="63" t="s">
        <v>32</v>
      </c>
      <c r="N146" s="208"/>
    </row>
    <row r="147" spans="1:14" ht="39.75" customHeight="1">
      <c r="A147" s="183"/>
      <c r="B147" s="186"/>
      <c r="C147" s="16">
        <v>904</v>
      </c>
      <c r="D147" s="1" t="s">
        <v>268</v>
      </c>
      <c r="E147" s="1" t="s">
        <v>216</v>
      </c>
      <c r="F147" s="16">
        <v>240</v>
      </c>
      <c r="G147" s="72">
        <v>439540</v>
      </c>
      <c r="H147" s="73">
        <f>123056+92480+113087+15830</f>
        <v>344453</v>
      </c>
      <c r="I147" s="141">
        <f>132645.1+97500-56833.04</f>
        <v>173312.06</v>
      </c>
      <c r="J147" s="76">
        <v>75784.7</v>
      </c>
      <c r="K147" s="76">
        <v>84784.7</v>
      </c>
      <c r="L147" s="76">
        <v>84784.7</v>
      </c>
      <c r="M147" s="63" t="s">
        <v>218</v>
      </c>
      <c r="N147" s="208"/>
    </row>
    <row r="148" spans="1:14" ht="39.75" customHeight="1">
      <c r="A148" s="182" t="s">
        <v>384</v>
      </c>
      <c r="B148" s="184" t="s">
        <v>70</v>
      </c>
      <c r="C148" s="16">
        <v>904</v>
      </c>
      <c r="D148" s="1" t="s">
        <v>268</v>
      </c>
      <c r="E148" s="1" t="s">
        <v>310</v>
      </c>
      <c r="F148" s="44"/>
      <c r="G148" s="124">
        <v>0</v>
      </c>
      <c r="H148" s="124">
        <v>0</v>
      </c>
      <c r="I148" s="55">
        <v>938553.45</v>
      </c>
      <c r="J148" s="168">
        <v>2418782.71</v>
      </c>
      <c r="K148" s="168">
        <v>2217217.48</v>
      </c>
      <c r="L148" s="168">
        <v>2217217.48</v>
      </c>
      <c r="M148" s="80" t="s">
        <v>32</v>
      </c>
      <c r="N148" s="208"/>
    </row>
    <row r="149" spans="1:14" ht="39.75" customHeight="1">
      <c r="A149" s="183"/>
      <c r="B149" s="186"/>
      <c r="C149" s="16">
        <v>904</v>
      </c>
      <c r="D149" s="1" t="s">
        <v>268</v>
      </c>
      <c r="E149" s="1" t="s">
        <v>310</v>
      </c>
      <c r="F149" s="44"/>
      <c r="G149" s="124">
        <v>0</v>
      </c>
      <c r="H149" s="124">
        <v>0</v>
      </c>
      <c r="I149" s="55">
        <f>235158.18+7.31</f>
        <v>235165.49</v>
      </c>
      <c r="J149" s="168">
        <v>144544</v>
      </c>
      <c r="K149" s="168">
        <v>135544</v>
      </c>
      <c r="L149" s="168">
        <v>135544</v>
      </c>
      <c r="M149" s="80" t="s">
        <v>378</v>
      </c>
      <c r="N149" s="208"/>
    </row>
    <row r="150" spans="1:14">
      <c r="A150" s="181" t="s">
        <v>336</v>
      </c>
      <c r="B150" s="180" t="s">
        <v>70</v>
      </c>
      <c r="C150" s="16">
        <v>904</v>
      </c>
      <c r="D150" s="1" t="s">
        <v>268</v>
      </c>
      <c r="E150" s="1" t="s">
        <v>22</v>
      </c>
      <c r="F150" s="16">
        <v>120</v>
      </c>
      <c r="G150" s="72">
        <v>11105258.6</v>
      </c>
      <c r="H150" s="73">
        <f>10731908.17+973809.83+175602</f>
        <v>11881320</v>
      </c>
      <c r="I150" s="141">
        <v>0</v>
      </c>
      <c r="J150" s="76">
        <v>0</v>
      </c>
      <c r="K150" s="76">
        <v>0</v>
      </c>
      <c r="L150" s="76">
        <v>0</v>
      </c>
      <c r="M150" s="63" t="s">
        <v>32</v>
      </c>
      <c r="N150" s="208"/>
    </row>
    <row r="151" spans="1:14" ht="22.5" customHeight="1">
      <c r="A151" s="181"/>
      <c r="B151" s="180"/>
      <c r="C151" s="16">
        <v>904</v>
      </c>
      <c r="D151" s="1" t="s">
        <v>268</v>
      </c>
      <c r="E151" s="1" t="s">
        <v>22</v>
      </c>
      <c r="F151" s="16">
        <v>240</v>
      </c>
      <c r="G151" s="72">
        <v>1406133.6</v>
      </c>
      <c r="H151" s="73">
        <f>717042.08+50000+84681.72+30420+125000</f>
        <v>1007143.7999999999</v>
      </c>
      <c r="I151" s="141">
        <v>0</v>
      </c>
      <c r="J151" s="76">
        <v>0</v>
      </c>
      <c r="K151" s="76">
        <v>0</v>
      </c>
      <c r="L151" s="76">
        <v>0</v>
      </c>
      <c r="M151" s="63"/>
      <c r="N151" s="208"/>
    </row>
    <row r="152" spans="1:14" ht="33.75" customHeight="1">
      <c r="A152" s="101" t="s">
        <v>337</v>
      </c>
      <c r="B152" s="63" t="s">
        <v>70</v>
      </c>
      <c r="C152" s="16"/>
      <c r="D152" s="1"/>
      <c r="E152" s="1"/>
      <c r="F152" s="16"/>
      <c r="G152" s="72">
        <v>0</v>
      </c>
      <c r="H152" s="73">
        <v>0</v>
      </c>
      <c r="I152" s="141">
        <f>SUM(I153:I155)</f>
        <v>11950717.239999998</v>
      </c>
      <c r="J152" s="76">
        <f t="shared" ref="J152:L152" si="19">SUM(J153:J155)</f>
        <v>11431078.07</v>
      </c>
      <c r="K152" s="76">
        <f t="shared" si="19"/>
        <v>10514026.75</v>
      </c>
      <c r="L152" s="76">
        <f t="shared" si="19"/>
        <v>10514026.75</v>
      </c>
      <c r="M152" s="78" t="s">
        <v>32</v>
      </c>
      <c r="N152" s="70"/>
    </row>
    <row r="153" spans="1:14" ht="37.5" customHeight="1">
      <c r="A153" s="87" t="s">
        <v>338</v>
      </c>
      <c r="B153" s="13" t="s">
        <v>70</v>
      </c>
      <c r="C153" s="16">
        <v>904</v>
      </c>
      <c r="D153" s="1" t="s">
        <v>268</v>
      </c>
      <c r="E153" s="1" t="s">
        <v>258</v>
      </c>
      <c r="F153" s="16"/>
      <c r="G153" s="72">
        <v>0</v>
      </c>
      <c r="H153" s="73">
        <v>0</v>
      </c>
      <c r="I153" s="141">
        <v>8445256.4499999993</v>
      </c>
      <c r="J153" s="141">
        <v>7274343.5800000001</v>
      </c>
      <c r="K153" s="141">
        <v>6668148.2800000003</v>
      </c>
      <c r="L153" s="141">
        <v>6668148.2800000003</v>
      </c>
      <c r="M153" s="78" t="s">
        <v>32</v>
      </c>
      <c r="N153" s="71"/>
    </row>
    <row r="154" spans="1:14" ht="65.25" customHeight="1">
      <c r="A154" s="87" t="s">
        <v>339</v>
      </c>
      <c r="B154" s="13" t="s">
        <v>70</v>
      </c>
      <c r="C154" s="16">
        <v>904</v>
      </c>
      <c r="D154" s="1" t="s">
        <v>268</v>
      </c>
      <c r="E154" s="1" t="s">
        <v>307</v>
      </c>
      <c r="F154" s="16"/>
      <c r="G154" s="72">
        <v>0</v>
      </c>
      <c r="H154" s="73">
        <v>0</v>
      </c>
      <c r="I154" s="141">
        <v>2647267</v>
      </c>
      <c r="J154" s="141">
        <v>3730272.19</v>
      </c>
      <c r="K154" s="141">
        <v>3419416.17</v>
      </c>
      <c r="L154" s="141">
        <v>3419416.17</v>
      </c>
      <c r="M154" s="78" t="s">
        <v>32</v>
      </c>
      <c r="N154" s="79"/>
    </row>
    <row r="155" spans="1:14" ht="39.75" customHeight="1">
      <c r="A155" s="87" t="s">
        <v>340</v>
      </c>
      <c r="B155" s="13" t="s">
        <v>70</v>
      </c>
      <c r="C155" s="16">
        <v>904</v>
      </c>
      <c r="D155" s="1" t="s">
        <v>268</v>
      </c>
      <c r="E155" s="1" t="s">
        <v>267</v>
      </c>
      <c r="F155" s="44"/>
      <c r="G155" s="125">
        <v>0</v>
      </c>
      <c r="H155" s="125">
        <v>0</v>
      </c>
      <c r="I155" s="130">
        <v>858193.79</v>
      </c>
      <c r="J155" s="130">
        <v>426462.3</v>
      </c>
      <c r="K155" s="130">
        <v>426462.3</v>
      </c>
      <c r="L155" s="130">
        <v>426462.3</v>
      </c>
      <c r="M155" s="63" t="s">
        <v>218</v>
      </c>
      <c r="N155" s="71"/>
    </row>
    <row r="156" spans="1:14" s="86" customFormat="1" ht="71.25" customHeight="1">
      <c r="A156" s="118" t="s">
        <v>380</v>
      </c>
      <c r="B156" s="87" t="s">
        <v>70</v>
      </c>
      <c r="C156" s="82">
        <v>904</v>
      </c>
      <c r="D156" s="83" t="s">
        <v>268</v>
      </c>
      <c r="E156" s="83" t="s">
        <v>381</v>
      </c>
      <c r="F156" s="117"/>
      <c r="G156" s="127">
        <v>0</v>
      </c>
      <c r="H156" s="127">
        <v>0</v>
      </c>
      <c r="I156" s="126">
        <v>8900</v>
      </c>
      <c r="J156" s="126">
        <v>0</v>
      </c>
      <c r="K156" s="126">
        <v>0</v>
      </c>
      <c r="L156" s="126">
        <v>0</v>
      </c>
      <c r="M156" s="116" t="s">
        <v>382</v>
      </c>
      <c r="N156" s="85"/>
    </row>
    <row r="157" spans="1:14" ht="182.25" customHeight="1">
      <c r="A157" s="87" t="s">
        <v>383</v>
      </c>
      <c r="B157" s="13" t="s">
        <v>74</v>
      </c>
      <c r="C157" s="16">
        <v>904</v>
      </c>
      <c r="D157" s="1" t="s">
        <v>268</v>
      </c>
      <c r="E157" s="1" t="s">
        <v>287</v>
      </c>
      <c r="F157" s="44"/>
      <c r="G157" s="124">
        <v>0</v>
      </c>
      <c r="H157" s="126">
        <f>136187.54+41121.8</f>
        <v>177309.34000000003</v>
      </c>
      <c r="I157" s="126">
        <v>0</v>
      </c>
      <c r="J157" s="126">
        <v>0</v>
      </c>
      <c r="K157" s="126">
        <v>0</v>
      </c>
      <c r="L157" s="126">
        <v>0</v>
      </c>
      <c r="M157" s="63"/>
      <c r="N157" s="71"/>
    </row>
    <row r="158" spans="1:14" ht="55.5" customHeight="1">
      <c r="A158" s="108" t="s">
        <v>361</v>
      </c>
      <c r="B158" s="99"/>
      <c r="C158" s="16"/>
      <c r="D158" s="16"/>
      <c r="E158" s="9" t="s">
        <v>78</v>
      </c>
      <c r="F158" s="16"/>
      <c r="G158" s="54">
        <f t="shared" ref="G158:L158" si="20">SUM(G159:G166)</f>
        <v>6475410.2100000009</v>
      </c>
      <c r="H158" s="54">
        <f t="shared" si="20"/>
        <v>7769073.4699999997</v>
      </c>
      <c r="I158" s="147">
        <f t="shared" si="20"/>
        <v>0</v>
      </c>
      <c r="J158" s="147">
        <f>SUM(J159:J166)</f>
        <v>0</v>
      </c>
      <c r="K158" s="147">
        <f t="shared" si="20"/>
        <v>0</v>
      </c>
      <c r="L158" s="147">
        <f t="shared" si="20"/>
        <v>0</v>
      </c>
      <c r="M158" s="99"/>
      <c r="N158" s="100"/>
    </row>
    <row r="159" spans="1:14" ht="42" customHeight="1">
      <c r="A159" s="182" t="s">
        <v>362</v>
      </c>
      <c r="B159" s="13" t="s">
        <v>74</v>
      </c>
      <c r="C159" s="16">
        <v>904</v>
      </c>
      <c r="D159" s="1">
        <v>702</v>
      </c>
      <c r="E159" s="1" t="s">
        <v>235</v>
      </c>
      <c r="F159" s="44">
        <v>612</v>
      </c>
      <c r="G159" s="124">
        <v>0</v>
      </c>
      <c r="H159" s="126">
        <v>7582000.5899999999</v>
      </c>
      <c r="I159" s="126">
        <v>0</v>
      </c>
      <c r="J159" s="126">
        <v>0</v>
      </c>
      <c r="K159" s="126">
        <v>0</v>
      </c>
      <c r="L159" s="128">
        <v>0</v>
      </c>
      <c r="M159" s="184" t="s">
        <v>202</v>
      </c>
      <c r="N159" s="100"/>
    </row>
    <row r="160" spans="1:14" ht="38.25" customHeight="1">
      <c r="A160" s="187"/>
      <c r="B160" s="13" t="s">
        <v>71</v>
      </c>
      <c r="C160" s="16">
        <v>904</v>
      </c>
      <c r="D160" s="1">
        <v>702</v>
      </c>
      <c r="E160" s="1" t="s">
        <v>235</v>
      </c>
      <c r="F160" s="44"/>
      <c r="G160" s="124">
        <v>0</v>
      </c>
      <c r="H160" s="126">
        <v>76585.88</v>
      </c>
      <c r="I160" s="126">
        <v>0</v>
      </c>
      <c r="J160" s="126">
        <v>0</v>
      </c>
      <c r="K160" s="126">
        <v>0</v>
      </c>
      <c r="L160" s="126">
        <v>0</v>
      </c>
      <c r="M160" s="185"/>
      <c r="N160" s="100"/>
    </row>
    <row r="161" spans="1:14" ht="100.5" customHeight="1">
      <c r="A161" s="183"/>
      <c r="B161" s="13" t="s">
        <v>88</v>
      </c>
      <c r="C161" s="16">
        <v>904</v>
      </c>
      <c r="D161" s="1">
        <v>702</v>
      </c>
      <c r="E161" s="1" t="s">
        <v>235</v>
      </c>
      <c r="F161" s="44"/>
      <c r="G161" s="124">
        <v>0</v>
      </c>
      <c r="H161" s="126">
        <v>110487</v>
      </c>
      <c r="I161" s="126">
        <v>0</v>
      </c>
      <c r="J161" s="126">
        <v>0</v>
      </c>
      <c r="K161" s="126">
        <v>0</v>
      </c>
      <c r="L161" s="129">
        <v>0</v>
      </c>
      <c r="M161" s="186"/>
      <c r="N161" s="100"/>
    </row>
    <row r="162" spans="1:14" ht="44.25" customHeight="1">
      <c r="A162" s="182" t="s">
        <v>363</v>
      </c>
      <c r="B162" s="13" t="s">
        <v>74</v>
      </c>
      <c r="C162" s="16">
        <v>904</v>
      </c>
      <c r="D162" s="1">
        <v>702</v>
      </c>
      <c r="E162" s="1" t="s">
        <v>192</v>
      </c>
      <c r="F162" s="44">
        <v>612</v>
      </c>
      <c r="G162" s="102">
        <v>4346345.46</v>
      </c>
      <c r="H162" s="130">
        <v>0</v>
      </c>
      <c r="I162" s="130">
        <v>0</v>
      </c>
      <c r="J162" s="130">
        <v>0</v>
      </c>
      <c r="K162" s="130">
        <v>0</v>
      </c>
      <c r="L162" s="130">
        <v>0</v>
      </c>
      <c r="M162" s="184" t="s">
        <v>202</v>
      </c>
      <c r="N162" s="100"/>
    </row>
    <row r="163" spans="1:14" ht="46.5" customHeight="1">
      <c r="A163" s="187"/>
      <c r="B163" s="13" t="s">
        <v>71</v>
      </c>
      <c r="C163" s="16">
        <v>904</v>
      </c>
      <c r="D163" s="1">
        <v>702</v>
      </c>
      <c r="E163" s="1" t="s">
        <v>192</v>
      </c>
      <c r="F163" s="44">
        <v>612</v>
      </c>
      <c r="G163" s="102">
        <v>43902.48</v>
      </c>
      <c r="H163" s="130">
        <v>0</v>
      </c>
      <c r="I163" s="130">
        <v>0</v>
      </c>
      <c r="J163" s="130">
        <v>0</v>
      </c>
      <c r="K163" s="130">
        <v>0</v>
      </c>
      <c r="L163" s="130">
        <v>0</v>
      </c>
      <c r="M163" s="185"/>
      <c r="N163" s="100"/>
    </row>
    <row r="164" spans="1:14" ht="59.25" customHeight="1">
      <c r="A164" s="183"/>
      <c r="B164" s="13" t="s">
        <v>88</v>
      </c>
      <c r="C164" s="16">
        <v>904</v>
      </c>
      <c r="D164" s="1">
        <v>702</v>
      </c>
      <c r="E164" s="1" t="s">
        <v>192</v>
      </c>
      <c r="F164" s="44">
        <v>612</v>
      </c>
      <c r="G164" s="102">
        <v>44345.94</v>
      </c>
      <c r="H164" s="130">
        <v>0</v>
      </c>
      <c r="I164" s="130">
        <v>0</v>
      </c>
      <c r="J164" s="130">
        <v>0</v>
      </c>
      <c r="K164" s="130">
        <v>0</v>
      </c>
      <c r="L164" s="130">
        <v>0</v>
      </c>
      <c r="M164" s="186"/>
      <c r="N164" s="100"/>
    </row>
    <row r="165" spans="1:14" ht="51.75" customHeight="1">
      <c r="A165" s="87" t="s">
        <v>364</v>
      </c>
      <c r="B165" s="13" t="s">
        <v>71</v>
      </c>
      <c r="C165" s="16">
        <v>904</v>
      </c>
      <c r="D165" s="1">
        <v>702</v>
      </c>
      <c r="E165" s="1" t="s">
        <v>214</v>
      </c>
      <c r="F165" s="44">
        <v>612</v>
      </c>
      <c r="G165" s="102">
        <v>2000000</v>
      </c>
      <c r="H165" s="130">
        <v>0</v>
      </c>
      <c r="I165" s="130">
        <v>0</v>
      </c>
      <c r="J165" s="130">
        <v>0</v>
      </c>
      <c r="K165" s="130">
        <v>0</v>
      </c>
      <c r="L165" s="130">
        <v>0</v>
      </c>
      <c r="M165" s="96" t="s">
        <v>213</v>
      </c>
      <c r="N165" s="100"/>
    </row>
    <row r="166" spans="1:14" ht="51" customHeight="1">
      <c r="A166" s="87" t="s">
        <v>365</v>
      </c>
      <c r="B166" s="13" t="s">
        <v>88</v>
      </c>
      <c r="C166" s="16"/>
      <c r="D166" s="1"/>
      <c r="E166" s="1"/>
      <c r="F166" s="44"/>
      <c r="G166" s="102">
        <v>40816.33</v>
      </c>
      <c r="H166" s="130">
        <v>0</v>
      </c>
      <c r="I166" s="130">
        <v>0</v>
      </c>
      <c r="J166" s="130">
        <v>0</v>
      </c>
      <c r="K166" s="130">
        <v>0</v>
      </c>
      <c r="L166" s="130">
        <v>0</v>
      </c>
      <c r="M166" s="96" t="s">
        <v>219</v>
      </c>
      <c r="N166" s="100"/>
    </row>
    <row r="167" spans="1:14" ht="51" customHeight="1">
      <c r="A167" s="110" t="s">
        <v>366</v>
      </c>
      <c r="B167" s="13"/>
      <c r="C167" s="16"/>
      <c r="D167" s="16"/>
      <c r="E167" s="9" t="s">
        <v>99</v>
      </c>
      <c r="F167" s="16"/>
      <c r="G167" s="20">
        <f t="shared" ref="G167:L167" si="21">G168+G169+G170+G171+G172+G173+G174+G175</f>
        <v>21506598.829999998</v>
      </c>
      <c r="H167" s="20">
        <f t="shared" si="21"/>
        <v>3947668.67</v>
      </c>
      <c r="I167" s="143">
        <f t="shared" si="21"/>
        <v>0</v>
      </c>
      <c r="J167" s="143">
        <f t="shared" si="21"/>
        <v>0</v>
      </c>
      <c r="K167" s="143">
        <f t="shared" si="21"/>
        <v>0</v>
      </c>
      <c r="L167" s="143">
        <f t="shared" si="21"/>
        <v>0</v>
      </c>
      <c r="M167" s="96"/>
      <c r="N167" s="100"/>
    </row>
    <row r="168" spans="1:14" ht="51" hidden="1" customHeight="1">
      <c r="A168" s="182" t="s">
        <v>367</v>
      </c>
      <c r="B168" s="99" t="s">
        <v>70</v>
      </c>
      <c r="C168" s="16">
        <v>904</v>
      </c>
      <c r="D168" s="16">
        <v>702</v>
      </c>
      <c r="E168" s="1" t="s">
        <v>138</v>
      </c>
      <c r="F168" s="16">
        <v>612</v>
      </c>
      <c r="G168" s="72"/>
      <c r="H168" s="73"/>
      <c r="I168" s="141"/>
      <c r="J168" s="141"/>
      <c r="K168" s="141"/>
      <c r="L168" s="159"/>
      <c r="M168" s="207" t="s">
        <v>231</v>
      </c>
      <c r="N168" s="100"/>
    </row>
    <row r="169" spans="1:14" ht="51" hidden="1" customHeight="1">
      <c r="A169" s="187"/>
      <c r="B169" s="99" t="s">
        <v>71</v>
      </c>
      <c r="C169" s="16">
        <v>904</v>
      </c>
      <c r="D169" s="16">
        <v>702</v>
      </c>
      <c r="E169" s="1" t="s">
        <v>138</v>
      </c>
      <c r="F169" s="16">
        <v>612</v>
      </c>
      <c r="G169" s="72"/>
      <c r="H169" s="73"/>
      <c r="I169" s="141"/>
      <c r="J169" s="141"/>
      <c r="K169" s="141"/>
      <c r="L169" s="161"/>
      <c r="M169" s="208"/>
      <c r="N169" s="100"/>
    </row>
    <row r="170" spans="1:14" ht="51" hidden="1" customHeight="1">
      <c r="A170" s="183"/>
      <c r="B170" s="99" t="s">
        <v>74</v>
      </c>
      <c r="C170" s="16">
        <v>904</v>
      </c>
      <c r="D170" s="16">
        <v>702</v>
      </c>
      <c r="E170" s="1" t="s">
        <v>138</v>
      </c>
      <c r="F170" s="16">
        <v>612</v>
      </c>
      <c r="G170" s="72"/>
      <c r="H170" s="73"/>
      <c r="I170" s="141"/>
      <c r="J170" s="141"/>
      <c r="K170" s="141"/>
      <c r="L170" s="158"/>
      <c r="M170" s="209"/>
      <c r="N170" s="100"/>
    </row>
    <row r="171" spans="1:14" ht="51" customHeight="1">
      <c r="A171" s="182" t="s">
        <v>368</v>
      </c>
      <c r="B171" s="99" t="s">
        <v>74</v>
      </c>
      <c r="C171" s="16">
        <v>904</v>
      </c>
      <c r="D171" s="16">
        <v>702</v>
      </c>
      <c r="E171" s="1" t="s">
        <v>198</v>
      </c>
      <c r="F171" s="16">
        <v>612</v>
      </c>
      <c r="G171" s="72">
        <v>16078107.289999999</v>
      </c>
      <c r="H171" s="73">
        <v>3896109.75</v>
      </c>
      <c r="I171" s="141">
        <v>0</v>
      </c>
      <c r="J171" s="141">
        <v>0</v>
      </c>
      <c r="K171" s="141">
        <v>0</v>
      </c>
      <c r="L171" s="159">
        <v>0</v>
      </c>
      <c r="M171" s="184" t="s">
        <v>233</v>
      </c>
      <c r="N171" s="100"/>
    </row>
    <row r="172" spans="1:14" ht="51" customHeight="1">
      <c r="A172" s="187"/>
      <c r="B172" s="99" t="s">
        <v>71</v>
      </c>
      <c r="C172" s="16">
        <v>904</v>
      </c>
      <c r="D172" s="16">
        <v>702</v>
      </c>
      <c r="E172" s="1" t="s">
        <v>198</v>
      </c>
      <c r="F172" s="16">
        <v>612</v>
      </c>
      <c r="G172" s="72">
        <v>4162405.13</v>
      </c>
      <c r="H172" s="73">
        <v>12081.92</v>
      </c>
      <c r="I172" s="141">
        <v>0</v>
      </c>
      <c r="J172" s="141">
        <v>0</v>
      </c>
      <c r="K172" s="141">
        <v>0</v>
      </c>
      <c r="L172" s="161">
        <v>0</v>
      </c>
      <c r="M172" s="185"/>
      <c r="N172" s="100"/>
    </row>
    <row r="173" spans="1:14" ht="51" customHeight="1">
      <c r="A173" s="183"/>
      <c r="B173" s="99" t="s">
        <v>88</v>
      </c>
      <c r="C173" s="16">
        <v>904</v>
      </c>
      <c r="D173" s="16">
        <v>702</v>
      </c>
      <c r="E173" s="1" t="s">
        <v>198</v>
      </c>
      <c r="F173" s="16">
        <v>612</v>
      </c>
      <c r="G173" s="72">
        <v>245678.25</v>
      </c>
      <c r="H173" s="73">
        <v>39477</v>
      </c>
      <c r="I173" s="141">
        <v>0</v>
      </c>
      <c r="J173" s="141">
        <v>0</v>
      </c>
      <c r="K173" s="141">
        <v>0</v>
      </c>
      <c r="L173" s="158">
        <v>0</v>
      </c>
      <c r="M173" s="186"/>
      <c r="N173" s="100"/>
    </row>
    <row r="174" spans="1:14" ht="51" customHeight="1">
      <c r="A174" s="98" t="s">
        <v>369</v>
      </c>
      <c r="B174" s="99" t="s">
        <v>71</v>
      </c>
      <c r="C174" s="16">
        <v>904</v>
      </c>
      <c r="D174" s="16">
        <v>702</v>
      </c>
      <c r="E174" s="1" t="s">
        <v>236</v>
      </c>
      <c r="F174" s="16">
        <v>612</v>
      </c>
      <c r="G174" s="72">
        <v>1000000</v>
      </c>
      <c r="H174" s="73">
        <v>0</v>
      </c>
      <c r="I174" s="141">
        <v>0</v>
      </c>
      <c r="J174" s="141">
        <v>0</v>
      </c>
      <c r="K174" s="141">
        <v>0</v>
      </c>
      <c r="L174" s="159">
        <v>0</v>
      </c>
      <c r="M174" s="184" t="s">
        <v>231</v>
      </c>
      <c r="N174" s="100"/>
    </row>
    <row r="175" spans="1:14" ht="51" customHeight="1">
      <c r="A175" s="98" t="s">
        <v>370</v>
      </c>
      <c r="B175" s="99" t="s">
        <v>70</v>
      </c>
      <c r="C175" s="16">
        <v>904</v>
      </c>
      <c r="D175" s="16">
        <v>702</v>
      </c>
      <c r="E175" s="1" t="s">
        <v>237</v>
      </c>
      <c r="F175" s="16">
        <v>612</v>
      </c>
      <c r="G175" s="72">
        <v>20408.16</v>
      </c>
      <c r="H175" s="73">
        <v>0</v>
      </c>
      <c r="I175" s="141">
        <v>0</v>
      </c>
      <c r="J175" s="141">
        <v>0</v>
      </c>
      <c r="K175" s="141">
        <v>0</v>
      </c>
      <c r="L175" s="158">
        <v>0</v>
      </c>
      <c r="M175" s="186"/>
      <c r="N175" s="100"/>
    </row>
    <row r="176" spans="1:14" ht="57.75" customHeight="1">
      <c r="A176" s="110" t="s">
        <v>344</v>
      </c>
      <c r="B176" s="63"/>
      <c r="C176" s="16"/>
      <c r="D176" s="16"/>
      <c r="E176" s="9" t="s">
        <v>125</v>
      </c>
      <c r="F176" s="16"/>
      <c r="G176" s="20">
        <f>G179+G181+G180+G187+G188+G189+G190+G191+G184+G185+G186</f>
        <v>3357299.8</v>
      </c>
      <c r="H176" s="54">
        <f>H179+H181+H180</f>
        <v>0</v>
      </c>
      <c r="I176" s="143">
        <f>I179+I181+I180</f>
        <v>0</v>
      </c>
      <c r="J176" s="143">
        <f>J179+J181+J180</f>
        <v>0</v>
      </c>
      <c r="K176" s="143">
        <f>K179+K181+K180</f>
        <v>0</v>
      </c>
      <c r="L176" s="143">
        <f>L179+L181+L180</f>
        <v>0</v>
      </c>
      <c r="M176" s="68"/>
      <c r="N176" s="208"/>
    </row>
    <row r="177" spans="1:14" ht="50.25" hidden="1" customHeight="1">
      <c r="A177" s="98" t="s">
        <v>39</v>
      </c>
      <c r="B177" s="63" t="s">
        <v>71</v>
      </c>
      <c r="C177" s="16">
        <v>904</v>
      </c>
      <c r="D177" s="16" t="s">
        <v>126</v>
      </c>
      <c r="E177" s="1" t="s">
        <v>127</v>
      </c>
      <c r="F177" s="16">
        <v>612</v>
      </c>
      <c r="G177" s="72"/>
      <c r="H177" s="73"/>
      <c r="I177" s="141"/>
      <c r="J177" s="141"/>
      <c r="K177" s="141"/>
      <c r="L177" s="158"/>
      <c r="M177" s="68" t="s">
        <v>132</v>
      </c>
      <c r="N177" s="208"/>
    </row>
    <row r="178" spans="1:14" ht="51" hidden="1" customHeight="1">
      <c r="A178" s="98" t="s">
        <v>102</v>
      </c>
      <c r="B178" s="63" t="s">
        <v>88</v>
      </c>
      <c r="C178" s="16">
        <v>904</v>
      </c>
      <c r="D178" s="16" t="s">
        <v>123</v>
      </c>
      <c r="E178" s="1" t="s">
        <v>128</v>
      </c>
      <c r="F178" s="16">
        <v>612</v>
      </c>
      <c r="G178" s="72"/>
      <c r="H178" s="73"/>
      <c r="I178" s="141"/>
      <c r="J178" s="141"/>
      <c r="K178" s="141"/>
      <c r="L178" s="158"/>
      <c r="M178" s="68" t="s">
        <v>133</v>
      </c>
      <c r="N178" s="208"/>
    </row>
    <row r="179" spans="1:14" ht="52.5" hidden="1" customHeight="1">
      <c r="A179" s="182" t="s">
        <v>345</v>
      </c>
      <c r="B179" s="63" t="s">
        <v>74</v>
      </c>
      <c r="C179" s="16">
        <v>904</v>
      </c>
      <c r="D179" s="16" t="s">
        <v>123</v>
      </c>
      <c r="E179" s="1" t="s">
        <v>193</v>
      </c>
      <c r="F179" s="16">
        <v>612</v>
      </c>
      <c r="G179" s="72"/>
      <c r="H179" s="73"/>
      <c r="I179" s="141"/>
      <c r="J179" s="141"/>
      <c r="K179" s="141"/>
      <c r="L179" s="159"/>
      <c r="M179" s="184" t="s">
        <v>230</v>
      </c>
      <c r="N179" s="208"/>
    </row>
    <row r="180" spans="1:14" ht="36" hidden="1" customHeight="1">
      <c r="A180" s="187"/>
      <c r="B180" s="63" t="s">
        <v>71</v>
      </c>
      <c r="C180" s="16">
        <v>904</v>
      </c>
      <c r="D180" s="16" t="s">
        <v>123</v>
      </c>
      <c r="E180" s="1" t="s">
        <v>193</v>
      </c>
      <c r="F180" s="16">
        <v>612</v>
      </c>
      <c r="G180" s="72"/>
      <c r="H180" s="73"/>
      <c r="I180" s="141"/>
      <c r="J180" s="141"/>
      <c r="K180" s="141"/>
      <c r="L180" s="161"/>
      <c r="M180" s="185"/>
      <c r="N180" s="208"/>
    </row>
    <row r="181" spans="1:14" ht="34.5" hidden="1" customHeight="1">
      <c r="A181" s="183"/>
      <c r="B181" s="63" t="s">
        <v>88</v>
      </c>
      <c r="C181" s="16">
        <v>904</v>
      </c>
      <c r="D181" s="16" t="s">
        <v>123</v>
      </c>
      <c r="E181" s="1" t="s">
        <v>193</v>
      </c>
      <c r="F181" s="16">
        <v>612</v>
      </c>
      <c r="G181" s="72"/>
      <c r="H181" s="73"/>
      <c r="I181" s="141"/>
      <c r="J181" s="141"/>
      <c r="K181" s="141"/>
      <c r="L181" s="158"/>
      <c r="M181" s="186"/>
      <c r="N181" s="209"/>
    </row>
    <row r="182" spans="1:14" ht="59.25" hidden="1" customHeight="1">
      <c r="A182" s="101" t="s">
        <v>346</v>
      </c>
      <c r="B182" s="63" t="s">
        <v>71</v>
      </c>
      <c r="C182" s="16">
        <v>904</v>
      </c>
      <c r="D182" s="16">
        <v>702</v>
      </c>
      <c r="E182" s="1" t="s">
        <v>194</v>
      </c>
      <c r="F182" s="16">
        <v>612</v>
      </c>
      <c r="G182" s="72"/>
      <c r="H182" s="73"/>
      <c r="I182" s="141"/>
      <c r="J182" s="141"/>
      <c r="K182" s="141"/>
      <c r="L182" s="161"/>
      <c r="M182" s="22" t="s">
        <v>230</v>
      </c>
      <c r="N182" s="71"/>
    </row>
    <row r="183" spans="1:14" ht="57" hidden="1" customHeight="1">
      <c r="A183" s="101" t="s">
        <v>347</v>
      </c>
      <c r="B183" s="63" t="s">
        <v>70</v>
      </c>
      <c r="C183" s="16">
        <v>904</v>
      </c>
      <c r="D183" s="16">
        <v>702</v>
      </c>
      <c r="E183" s="1" t="s">
        <v>195</v>
      </c>
      <c r="F183" s="16">
        <v>612</v>
      </c>
      <c r="G183" s="72"/>
      <c r="H183" s="73"/>
      <c r="I183" s="141"/>
      <c r="J183" s="141"/>
      <c r="K183" s="141"/>
      <c r="L183" s="161"/>
      <c r="M183" s="22"/>
      <c r="N183" s="71"/>
    </row>
    <row r="184" spans="1:14" ht="42" customHeight="1">
      <c r="A184" s="182" t="s">
        <v>348</v>
      </c>
      <c r="B184" s="63" t="s">
        <v>74</v>
      </c>
      <c r="C184" s="16">
        <v>904</v>
      </c>
      <c r="D184" s="16">
        <v>702</v>
      </c>
      <c r="E184" s="1" t="s">
        <v>196</v>
      </c>
      <c r="F184" s="16">
        <v>612</v>
      </c>
      <c r="G184" s="72">
        <v>2290387.5</v>
      </c>
      <c r="H184" s="73">
        <v>0</v>
      </c>
      <c r="I184" s="141">
        <v>0</v>
      </c>
      <c r="J184" s="141">
        <v>0</v>
      </c>
      <c r="K184" s="141">
        <v>0</v>
      </c>
      <c r="L184" s="159">
        <v>0</v>
      </c>
      <c r="M184" s="184" t="s">
        <v>232</v>
      </c>
      <c r="N184" s="71"/>
    </row>
    <row r="185" spans="1:14" ht="39" customHeight="1">
      <c r="A185" s="187"/>
      <c r="B185" s="63" t="s">
        <v>71</v>
      </c>
      <c r="C185" s="16">
        <v>904</v>
      </c>
      <c r="D185" s="16">
        <v>702</v>
      </c>
      <c r="E185" s="1" t="s">
        <v>196</v>
      </c>
      <c r="F185" s="16">
        <v>612</v>
      </c>
      <c r="G185" s="72">
        <v>1023135.22</v>
      </c>
      <c r="H185" s="73">
        <v>0</v>
      </c>
      <c r="I185" s="141">
        <v>0</v>
      </c>
      <c r="J185" s="141">
        <v>0</v>
      </c>
      <c r="K185" s="141">
        <v>0</v>
      </c>
      <c r="L185" s="161">
        <v>0</v>
      </c>
      <c r="M185" s="185"/>
      <c r="N185" s="71"/>
    </row>
    <row r="186" spans="1:14" ht="42" customHeight="1">
      <c r="A186" s="183"/>
      <c r="B186" s="63" t="s">
        <v>88</v>
      </c>
      <c r="C186" s="16">
        <v>904</v>
      </c>
      <c r="D186" s="16">
        <v>702</v>
      </c>
      <c r="E186" s="1" t="s">
        <v>196</v>
      </c>
      <c r="F186" s="16">
        <v>612</v>
      </c>
      <c r="G186" s="72">
        <v>43777.08</v>
      </c>
      <c r="H186" s="73">
        <v>0</v>
      </c>
      <c r="I186" s="141">
        <v>0</v>
      </c>
      <c r="J186" s="141">
        <v>0</v>
      </c>
      <c r="K186" s="141">
        <v>0</v>
      </c>
      <c r="L186" s="158">
        <v>0</v>
      </c>
      <c r="M186" s="186"/>
      <c r="N186" s="71"/>
    </row>
    <row r="187" spans="1:14" ht="50.25" hidden="1" customHeight="1">
      <c r="A187" s="98" t="s">
        <v>228</v>
      </c>
      <c r="B187" s="63" t="s">
        <v>71</v>
      </c>
      <c r="C187" s="16">
        <v>904</v>
      </c>
      <c r="D187" s="16">
        <v>702</v>
      </c>
      <c r="E187" s="1" t="s">
        <v>190</v>
      </c>
      <c r="F187" s="16">
        <v>612</v>
      </c>
      <c r="G187" s="72"/>
      <c r="H187" s="73"/>
      <c r="I187" s="141"/>
      <c r="J187" s="133"/>
      <c r="K187" s="133"/>
      <c r="L187" s="154"/>
      <c r="M187" s="22"/>
      <c r="N187" s="71"/>
    </row>
    <row r="188" spans="1:14" ht="64.5" hidden="1" customHeight="1">
      <c r="A188" s="98" t="s">
        <v>229</v>
      </c>
      <c r="B188" s="63" t="s">
        <v>88</v>
      </c>
      <c r="C188" s="16">
        <v>904</v>
      </c>
      <c r="D188" s="16">
        <v>702</v>
      </c>
      <c r="E188" s="1" t="s">
        <v>191</v>
      </c>
      <c r="F188" s="16">
        <v>612</v>
      </c>
      <c r="G188" s="72"/>
      <c r="H188" s="73"/>
      <c r="I188" s="141"/>
      <c r="J188" s="133"/>
      <c r="K188" s="133"/>
      <c r="L188" s="155"/>
      <c r="M188" s="23"/>
      <c r="N188" s="71"/>
    </row>
    <row r="189" spans="1:14" ht="45" hidden="1" customHeight="1">
      <c r="A189" s="182"/>
      <c r="B189" s="63"/>
      <c r="C189" s="16"/>
      <c r="D189" s="16"/>
      <c r="E189" s="1"/>
      <c r="F189" s="16"/>
      <c r="G189" s="72"/>
      <c r="H189" s="73"/>
      <c r="I189" s="141"/>
      <c r="J189" s="133"/>
      <c r="K189" s="133"/>
      <c r="L189" s="153"/>
      <c r="M189" s="184"/>
      <c r="N189" s="71"/>
    </row>
    <row r="190" spans="1:14" ht="56.25" hidden="1" customHeight="1">
      <c r="A190" s="187"/>
      <c r="B190" s="63"/>
      <c r="C190" s="16"/>
      <c r="D190" s="16"/>
      <c r="E190" s="1"/>
      <c r="F190" s="16"/>
      <c r="G190" s="72"/>
      <c r="H190" s="73"/>
      <c r="I190" s="141"/>
      <c r="J190" s="133"/>
      <c r="K190" s="133"/>
      <c r="L190" s="154"/>
      <c r="M190" s="185"/>
      <c r="N190" s="71"/>
    </row>
    <row r="191" spans="1:14" ht="45.75" hidden="1" customHeight="1">
      <c r="A191" s="183"/>
      <c r="B191" s="63"/>
      <c r="C191" s="16"/>
      <c r="D191" s="16"/>
      <c r="E191" s="1"/>
      <c r="F191" s="16"/>
      <c r="G191" s="72"/>
      <c r="H191" s="73"/>
      <c r="I191" s="141"/>
      <c r="J191" s="133"/>
      <c r="K191" s="133"/>
      <c r="L191" s="155"/>
      <c r="M191" s="186"/>
      <c r="N191" s="71"/>
    </row>
    <row r="192" spans="1:14" ht="55.5" customHeight="1">
      <c r="A192" s="108" t="s">
        <v>371</v>
      </c>
      <c r="B192" s="87" t="s">
        <v>70</v>
      </c>
      <c r="C192" s="82"/>
      <c r="D192" s="82"/>
      <c r="E192" s="92" t="s">
        <v>312</v>
      </c>
      <c r="F192" s="82"/>
      <c r="G192" s="76">
        <v>0</v>
      </c>
      <c r="H192" s="93">
        <v>5350000</v>
      </c>
      <c r="I192" s="147">
        <v>4000000</v>
      </c>
      <c r="J192" s="160">
        <v>0</v>
      </c>
      <c r="K192" s="160">
        <v>0</v>
      </c>
      <c r="L192" s="160">
        <v>0</v>
      </c>
      <c r="M192" s="96"/>
      <c r="N192" s="100"/>
    </row>
    <row r="193" spans="1:14" ht="69" customHeight="1">
      <c r="A193" s="97" t="s">
        <v>372</v>
      </c>
      <c r="B193" s="87" t="s">
        <v>70</v>
      </c>
      <c r="C193" s="82">
        <v>904</v>
      </c>
      <c r="D193" s="82" t="s">
        <v>341</v>
      </c>
      <c r="E193" s="83" t="s">
        <v>342</v>
      </c>
      <c r="F193" s="82"/>
      <c r="G193" s="76">
        <v>0</v>
      </c>
      <c r="H193" s="84">
        <v>550000</v>
      </c>
      <c r="I193" s="141">
        <v>0</v>
      </c>
      <c r="J193" s="141">
        <v>0</v>
      </c>
      <c r="K193" s="141">
        <v>0</v>
      </c>
      <c r="L193" s="141">
        <v>0</v>
      </c>
      <c r="M193" s="101" t="s">
        <v>252</v>
      </c>
      <c r="N193" s="100"/>
    </row>
    <row r="194" spans="1:14" ht="45.75" customHeight="1">
      <c r="A194" s="103" t="s">
        <v>373</v>
      </c>
      <c r="B194" s="87" t="s">
        <v>71</v>
      </c>
      <c r="C194" s="82">
        <v>904</v>
      </c>
      <c r="D194" s="95" t="s">
        <v>343</v>
      </c>
      <c r="E194" s="83" t="s">
        <v>256</v>
      </c>
      <c r="F194" s="82"/>
      <c r="G194" s="76">
        <v>0</v>
      </c>
      <c r="H194" s="84">
        <v>2000000</v>
      </c>
      <c r="I194" s="141">
        <v>2000000</v>
      </c>
      <c r="J194" s="141">
        <v>0</v>
      </c>
      <c r="K194" s="141">
        <v>0</v>
      </c>
      <c r="L194" s="159">
        <v>0</v>
      </c>
      <c r="M194" s="182" t="s">
        <v>306</v>
      </c>
      <c r="N194" s="100"/>
    </row>
    <row r="195" spans="1:14" ht="45.75" customHeight="1">
      <c r="A195" s="86"/>
      <c r="B195" s="87" t="s">
        <v>70</v>
      </c>
      <c r="C195" s="82">
        <v>904</v>
      </c>
      <c r="D195" s="95" t="s">
        <v>343</v>
      </c>
      <c r="E195" s="83" t="s">
        <v>256</v>
      </c>
      <c r="F195" s="82"/>
      <c r="G195" s="76">
        <v>0</v>
      </c>
      <c r="H195" s="84">
        <v>400000</v>
      </c>
      <c r="I195" s="141">
        <v>0</v>
      </c>
      <c r="J195" s="141">
        <v>0</v>
      </c>
      <c r="K195" s="141">
        <v>0</v>
      </c>
      <c r="L195" s="158">
        <v>0</v>
      </c>
      <c r="M195" s="183"/>
      <c r="N195" s="100"/>
    </row>
    <row r="196" spans="1:14" ht="45.75" customHeight="1">
      <c r="A196" s="103" t="s">
        <v>374</v>
      </c>
      <c r="B196" s="87" t="s">
        <v>71</v>
      </c>
      <c r="C196" s="82">
        <v>904</v>
      </c>
      <c r="D196" s="82">
        <v>702</v>
      </c>
      <c r="E196" s="83" t="s">
        <v>257</v>
      </c>
      <c r="F196" s="82"/>
      <c r="G196" s="76">
        <v>0</v>
      </c>
      <c r="H196" s="84">
        <v>2000000</v>
      </c>
      <c r="I196" s="141">
        <v>2000000</v>
      </c>
      <c r="J196" s="141">
        <v>0</v>
      </c>
      <c r="K196" s="141">
        <v>0</v>
      </c>
      <c r="L196" s="159">
        <v>0</v>
      </c>
      <c r="M196" s="182" t="s">
        <v>303</v>
      </c>
      <c r="N196" s="100"/>
    </row>
    <row r="197" spans="1:14" ht="45.75" customHeight="1">
      <c r="A197" s="98"/>
      <c r="B197" s="87" t="s">
        <v>70</v>
      </c>
      <c r="C197" s="82">
        <v>904</v>
      </c>
      <c r="D197" s="82">
        <v>702</v>
      </c>
      <c r="E197" s="83" t="s">
        <v>257</v>
      </c>
      <c r="F197" s="82"/>
      <c r="G197" s="76">
        <v>0</v>
      </c>
      <c r="H197" s="84">
        <v>400000</v>
      </c>
      <c r="I197" s="141">
        <v>0</v>
      </c>
      <c r="J197" s="141">
        <v>0</v>
      </c>
      <c r="K197" s="141">
        <v>0</v>
      </c>
      <c r="L197" s="141">
        <v>0</v>
      </c>
      <c r="M197" s="183"/>
      <c r="N197" s="100"/>
    </row>
    <row r="198" spans="1:14" ht="54" customHeight="1">
      <c r="A198" s="111" t="s">
        <v>349</v>
      </c>
      <c r="B198" s="63"/>
      <c r="C198" s="16"/>
      <c r="D198" s="16"/>
      <c r="E198" s="9" t="s">
        <v>197</v>
      </c>
      <c r="F198" s="16"/>
      <c r="G198" s="20">
        <f>G199+G200+G201+G202+G203+G204</f>
        <v>1270499.1799999997</v>
      </c>
      <c r="H198" s="58">
        <f>H199+H200</f>
        <v>2551746.0299999998</v>
      </c>
      <c r="I198" s="143">
        <v>0</v>
      </c>
      <c r="J198" s="143">
        <v>0</v>
      </c>
      <c r="K198" s="143">
        <v>0</v>
      </c>
      <c r="L198" s="143">
        <v>0</v>
      </c>
      <c r="M198" s="68"/>
      <c r="N198" s="71"/>
    </row>
    <row r="199" spans="1:14" ht="54.75" customHeight="1">
      <c r="A199" s="182" t="s">
        <v>350</v>
      </c>
      <c r="B199" s="63" t="s">
        <v>74</v>
      </c>
      <c r="C199" s="16">
        <v>904</v>
      </c>
      <c r="D199" s="16">
        <v>702</v>
      </c>
      <c r="E199" s="1" t="s">
        <v>217</v>
      </c>
      <c r="F199" s="16">
        <v>612</v>
      </c>
      <c r="G199" s="72">
        <v>320276.19</v>
      </c>
      <c r="H199" s="73">
        <v>2526228.5699999998</v>
      </c>
      <c r="I199" s="141">
        <v>0</v>
      </c>
      <c r="J199" s="141">
        <v>0</v>
      </c>
      <c r="K199" s="141">
        <v>0</v>
      </c>
      <c r="L199" s="141">
        <v>0</v>
      </c>
      <c r="M199" s="184" t="s">
        <v>290</v>
      </c>
      <c r="N199" s="71"/>
    </row>
    <row r="200" spans="1:14" ht="61.5" customHeight="1">
      <c r="A200" s="202"/>
      <c r="B200" s="63" t="s">
        <v>71</v>
      </c>
      <c r="C200" s="16">
        <v>904</v>
      </c>
      <c r="D200" s="16">
        <v>702</v>
      </c>
      <c r="E200" s="1" t="s">
        <v>217</v>
      </c>
      <c r="F200" s="16">
        <v>612</v>
      </c>
      <c r="G200" s="72">
        <v>3235.11</v>
      </c>
      <c r="H200" s="73">
        <v>25517.46</v>
      </c>
      <c r="I200" s="141">
        <v>0</v>
      </c>
      <c r="J200" s="141">
        <v>0</v>
      </c>
      <c r="K200" s="141">
        <v>0</v>
      </c>
      <c r="L200" s="141">
        <v>0</v>
      </c>
      <c r="M200" s="185"/>
      <c r="N200" s="71"/>
    </row>
    <row r="201" spans="1:14" ht="53.25" hidden="1" customHeight="1">
      <c r="A201" s="203"/>
      <c r="B201" s="63"/>
      <c r="C201" s="16"/>
      <c r="D201" s="16"/>
      <c r="E201" s="1"/>
      <c r="F201" s="16"/>
      <c r="G201" s="72"/>
      <c r="H201" s="73"/>
      <c r="I201" s="141">
        <v>0</v>
      </c>
      <c r="J201" s="133">
        <v>0</v>
      </c>
      <c r="K201" s="133">
        <v>0</v>
      </c>
      <c r="L201" s="133">
        <v>0</v>
      </c>
      <c r="M201" s="186"/>
      <c r="N201" s="71"/>
    </row>
    <row r="202" spans="1:14" ht="39.75" customHeight="1">
      <c r="A202" s="182" t="s">
        <v>351</v>
      </c>
      <c r="B202" s="63" t="s">
        <v>74</v>
      </c>
      <c r="C202" s="16">
        <v>904</v>
      </c>
      <c r="D202" s="16">
        <v>702</v>
      </c>
      <c r="E202" s="1" t="s">
        <v>217</v>
      </c>
      <c r="F202" s="16">
        <v>611</v>
      </c>
      <c r="G202" s="72">
        <v>928142.82</v>
      </c>
      <c r="H202" s="73">
        <v>0</v>
      </c>
      <c r="I202" s="141">
        <v>0</v>
      </c>
      <c r="J202" s="141">
        <v>0</v>
      </c>
      <c r="K202" s="141">
        <v>0</v>
      </c>
      <c r="L202" s="141">
        <v>0</v>
      </c>
      <c r="M202" s="184" t="s">
        <v>201</v>
      </c>
      <c r="N202" s="71"/>
    </row>
    <row r="203" spans="1:14" ht="39" customHeight="1">
      <c r="A203" s="187"/>
      <c r="B203" s="63" t="s">
        <v>71</v>
      </c>
      <c r="C203" s="16">
        <v>904</v>
      </c>
      <c r="D203" s="16">
        <v>702</v>
      </c>
      <c r="E203" s="1" t="s">
        <v>217</v>
      </c>
      <c r="F203" s="16">
        <v>611</v>
      </c>
      <c r="G203" s="72">
        <v>9375.18</v>
      </c>
      <c r="H203" s="73">
        <v>0</v>
      </c>
      <c r="I203" s="141">
        <v>0</v>
      </c>
      <c r="J203" s="141">
        <v>0</v>
      </c>
      <c r="K203" s="141">
        <v>0</v>
      </c>
      <c r="L203" s="141">
        <v>0</v>
      </c>
      <c r="M203" s="185"/>
      <c r="N203" s="71"/>
    </row>
    <row r="204" spans="1:14" ht="51.75" customHeight="1">
      <c r="A204" s="183"/>
      <c r="B204" s="63" t="s">
        <v>88</v>
      </c>
      <c r="C204" s="16"/>
      <c r="D204" s="16"/>
      <c r="E204" s="1"/>
      <c r="F204" s="16"/>
      <c r="G204" s="72">
        <v>9469.8799999999992</v>
      </c>
      <c r="H204" s="73">
        <v>0</v>
      </c>
      <c r="I204" s="141">
        <v>0</v>
      </c>
      <c r="J204" s="141">
        <v>0</v>
      </c>
      <c r="K204" s="141">
        <v>0</v>
      </c>
      <c r="L204" s="141">
        <v>0</v>
      </c>
      <c r="M204" s="186"/>
      <c r="N204" s="71"/>
    </row>
    <row r="205" spans="1:14" ht="36.75" customHeight="1">
      <c r="A205" s="112" t="s">
        <v>352</v>
      </c>
      <c r="B205" s="63"/>
      <c r="C205" s="16"/>
      <c r="D205" s="16"/>
      <c r="E205" s="9" t="s">
        <v>260</v>
      </c>
      <c r="F205" s="16"/>
      <c r="G205" s="20">
        <f t="shared" ref="G205:H205" si="22">SUM(G206:G208)</f>
        <v>0</v>
      </c>
      <c r="H205" s="20">
        <f t="shared" si="22"/>
        <v>0</v>
      </c>
      <c r="I205" s="143">
        <f>SUM(I206:I211)</f>
        <v>2542849.2000000002</v>
      </c>
      <c r="J205" s="143">
        <f>SUM(J206:J211)</f>
        <v>23096010.630000003</v>
      </c>
      <c r="K205" s="143">
        <f>SUM(K206:K211)</f>
        <v>252767264.47999999</v>
      </c>
      <c r="L205" s="143">
        <f>SUM(L206:L211)</f>
        <v>0</v>
      </c>
      <c r="M205" s="68"/>
      <c r="N205" s="71"/>
    </row>
    <row r="206" spans="1:14" ht="51.75" customHeight="1">
      <c r="A206" s="182" t="s">
        <v>353</v>
      </c>
      <c r="B206" s="63" t="s">
        <v>74</v>
      </c>
      <c r="C206" s="16">
        <v>904</v>
      </c>
      <c r="D206" s="16">
        <v>702</v>
      </c>
      <c r="E206" s="1" t="s">
        <v>262</v>
      </c>
      <c r="F206" s="16"/>
      <c r="G206" s="72">
        <v>0</v>
      </c>
      <c r="H206" s="73">
        <v>0</v>
      </c>
      <c r="I206" s="141">
        <v>2492246</v>
      </c>
      <c r="J206" s="141">
        <v>0</v>
      </c>
      <c r="K206" s="141">
        <v>0</v>
      </c>
      <c r="L206" s="141">
        <v>0</v>
      </c>
      <c r="M206" s="184" t="s">
        <v>302</v>
      </c>
      <c r="N206" s="71"/>
    </row>
    <row r="207" spans="1:14" ht="42" customHeight="1">
      <c r="A207" s="187"/>
      <c r="B207" s="63" t="s">
        <v>71</v>
      </c>
      <c r="C207" s="16">
        <v>904</v>
      </c>
      <c r="D207" s="16">
        <v>702</v>
      </c>
      <c r="E207" s="1" t="s">
        <v>262</v>
      </c>
      <c r="F207" s="16"/>
      <c r="G207" s="72">
        <v>0</v>
      </c>
      <c r="H207" s="73">
        <v>0</v>
      </c>
      <c r="I207" s="141">
        <v>25174.2</v>
      </c>
      <c r="J207" s="141">
        <v>0</v>
      </c>
      <c r="K207" s="141">
        <v>0</v>
      </c>
      <c r="L207" s="141">
        <v>0</v>
      </c>
      <c r="M207" s="185"/>
      <c r="N207" s="71"/>
    </row>
    <row r="208" spans="1:14" ht="39.75" customHeight="1">
      <c r="A208" s="187"/>
      <c r="B208" s="63" t="s">
        <v>88</v>
      </c>
      <c r="C208" s="16">
        <v>904</v>
      </c>
      <c r="D208" s="16">
        <v>702</v>
      </c>
      <c r="E208" s="1" t="s">
        <v>262</v>
      </c>
      <c r="F208" s="16"/>
      <c r="G208" s="72">
        <v>0</v>
      </c>
      <c r="H208" s="73">
        <v>0</v>
      </c>
      <c r="I208" s="141">
        <v>25429</v>
      </c>
      <c r="J208" s="141">
        <v>0</v>
      </c>
      <c r="K208" s="141">
        <v>0</v>
      </c>
      <c r="L208" s="141">
        <v>0</v>
      </c>
      <c r="M208" s="186"/>
      <c r="N208" s="71"/>
    </row>
    <row r="209" spans="1:14" ht="51.75" customHeight="1">
      <c r="A209" s="182" t="s">
        <v>354</v>
      </c>
      <c r="B209" s="121" t="s">
        <v>74</v>
      </c>
      <c r="C209" s="16">
        <v>910</v>
      </c>
      <c r="D209" s="16">
        <v>702</v>
      </c>
      <c r="E209" s="1" t="s">
        <v>259</v>
      </c>
      <c r="F209" s="16"/>
      <c r="G209" s="72">
        <v>0</v>
      </c>
      <c r="H209" s="73">
        <v>0</v>
      </c>
      <c r="I209" s="148">
        <v>0</v>
      </c>
      <c r="J209" s="141">
        <v>20372756.760000002</v>
      </c>
      <c r="K209" s="141">
        <v>245234800</v>
      </c>
      <c r="L209" s="141">
        <v>0</v>
      </c>
      <c r="M209" s="184" t="s">
        <v>301</v>
      </c>
      <c r="N209" s="71" t="s">
        <v>298</v>
      </c>
    </row>
    <row r="210" spans="1:14" ht="44.25" customHeight="1">
      <c r="A210" s="187"/>
      <c r="B210" s="121" t="s">
        <v>71</v>
      </c>
      <c r="C210" s="16">
        <v>910</v>
      </c>
      <c r="D210" s="16">
        <v>702</v>
      </c>
      <c r="E210" s="1" t="s">
        <v>259</v>
      </c>
      <c r="F210" s="16"/>
      <c r="G210" s="72">
        <v>0</v>
      </c>
      <c r="H210" s="73">
        <v>0</v>
      </c>
      <c r="I210" s="148">
        <v>0</v>
      </c>
      <c r="J210" s="141">
        <v>2492293.7599999998</v>
      </c>
      <c r="K210" s="141">
        <v>5004791.84</v>
      </c>
      <c r="L210" s="141">
        <v>0</v>
      </c>
      <c r="M210" s="185"/>
      <c r="N210" s="71"/>
    </row>
    <row r="211" spans="1:14" ht="40.5" customHeight="1">
      <c r="A211" s="183"/>
      <c r="B211" s="121" t="s">
        <v>88</v>
      </c>
      <c r="C211" s="16">
        <v>910</v>
      </c>
      <c r="D211" s="16">
        <v>702</v>
      </c>
      <c r="E211" s="1" t="s">
        <v>259</v>
      </c>
      <c r="F211" s="16"/>
      <c r="G211" s="72">
        <v>0</v>
      </c>
      <c r="H211" s="73">
        <v>0</v>
      </c>
      <c r="I211" s="148">
        <v>0</v>
      </c>
      <c r="J211" s="141">
        <v>230960.11</v>
      </c>
      <c r="K211" s="141">
        <v>2527672.64</v>
      </c>
      <c r="L211" s="141">
        <v>0</v>
      </c>
      <c r="M211" s="186"/>
      <c r="N211" s="71"/>
    </row>
    <row r="212" spans="1:14" ht="39" customHeight="1">
      <c r="A212" s="108" t="s">
        <v>355</v>
      </c>
      <c r="B212" s="7"/>
      <c r="C212" s="8"/>
      <c r="D212" s="8"/>
      <c r="E212" s="9" t="s">
        <v>265</v>
      </c>
      <c r="F212" s="8"/>
      <c r="G212" s="20">
        <f t="shared" ref="G212:L212" si="23">SUM(G213:G216)</f>
        <v>0</v>
      </c>
      <c r="H212" s="20">
        <f t="shared" si="23"/>
        <v>0</v>
      </c>
      <c r="I212" s="143">
        <f t="shared" si="23"/>
        <v>77638358.799999997</v>
      </c>
      <c r="J212" s="143">
        <f t="shared" si="23"/>
        <v>76453424</v>
      </c>
      <c r="K212" s="143">
        <f t="shared" si="23"/>
        <v>76370148</v>
      </c>
      <c r="L212" s="143">
        <f t="shared" si="23"/>
        <v>76120048</v>
      </c>
      <c r="M212" s="68"/>
      <c r="N212" s="71"/>
    </row>
    <row r="213" spans="1:14" ht="198.6" customHeight="1">
      <c r="A213" s="98" t="s">
        <v>356</v>
      </c>
      <c r="B213" s="63" t="s">
        <v>74</v>
      </c>
      <c r="C213" s="16">
        <v>904</v>
      </c>
      <c r="D213" s="16">
        <v>702</v>
      </c>
      <c r="E213" s="1" t="s">
        <v>263</v>
      </c>
      <c r="F213" s="16"/>
      <c r="G213" s="72">
        <v>0</v>
      </c>
      <c r="H213" s="73">
        <v>0</v>
      </c>
      <c r="I213" s="141">
        <v>999936</v>
      </c>
      <c r="J213" s="141">
        <v>1708224</v>
      </c>
      <c r="K213" s="141">
        <v>2374848</v>
      </c>
      <c r="L213" s="158">
        <v>2374848</v>
      </c>
      <c r="M213" s="68" t="s">
        <v>293</v>
      </c>
      <c r="N213" s="71"/>
    </row>
    <row r="214" spans="1:14" ht="34.5" customHeight="1">
      <c r="A214" s="182" t="s">
        <v>385</v>
      </c>
      <c r="B214" s="63" t="s">
        <v>74</v>
      </c>
      <c r="C214" s="16">
        <v>904</v>
      </c>
      <c r="D214" s="16">
        <v>702</v>
      </c>
      <c r="E214" s="1" t="s">
        <v>292</v>
      </c>
      <c r="F214" s="16"/>
      <c r="G214" s="72">
        <v>0</v>
      </c>
      <c r="H214" s="73">
        <v>0</v>
      </c>
      <c r="I214" s="141">
        <v>2533828.5699999998</v>
      </c>
      <c r="J214" s="141">
        <v>0</v>
      </c>
      <c r="K214" s="141">
        <v>0</v>
      </c>
      <c r="L214" s="141">
        <v>0</v>
      </c>
      <c r="M214" s="184" t="s">
        <v>290</v>
      </c>
      <c r="N214" s="71"/>
    </row>
    <row r="215" spans="1:14" ht="81.599999999999994" customHeight="1">
      <c r="A215" s="183"/>
      <c r="B215" s="63" t="s">
        <v>71</v>
      </c>
      <c r="C215" s="16">
        <v>904</v>
      </c>
      <c r="D215" s="16">
        <v>702</v>
      </c>
      <c r="E215" s="1" t="s">
        <v>292</v>
      </c>
      <c r="F215" s="16"/>
      <c r="G215" s="72">
        <v>0</v>
      </c>
      <c r="H215" s="73">
        <v>0</v>
      </c>
      <c r="I215" s="141">
        <v>25594.23</v>
      </c>
      <c r="J215" s="141">
        <v>0</v>
      </c>
      <c r="K215" s="141">
        <v>0</v>
      </c>
      <c r="L215" s="141">
        <v>0</v>
      </c>
      <c r="M215" s="186"/>
      <c r="N215" s="71"/>
    </row>
    <row r="216" spans="1:14" ht="149.44999999999999" customHeight="1">
      <c r="A216" s="98" t="s">
        <v>357</v>
      </c>
      <c r="B216" s="63" t="s">
        <v>74</v>
      </c>
      <c r="C216" s="16">
        <v>904</v>
      </c>
      <c r="D216" s="16">
        <v>702</v>
      </c>
      <c r="E216" s="1" t="s">
        <v>264</v>
      </c>
      <c r="F216" s="16"/>
      <c r="G216" s="72">
        <v>0</v>
      </c>
      <c r="H216" s="73">
        <v>0</v>
      </c>
      <c r="I216" s="141">
        <v>74079000</v>
      </c>
      <c r="J216" s="141">
        <v>74745200</v>
      </c>
      <c r="K216" s="141">
        <v>73995300</v>
      </c>
      <c r="L216" s="158">
        <v>73745200</v>
      </c>
      <c r="M216" s="68" t="s">
        <v>290</v>
      </c>
      <c r="N216" s="71"/>
    </row>
    <row r="217" spans="1:14" ht="48" customHeight="1">
      <c r="A217" s="108" t="s">
        <v>358</v>
      </c>
      <c r="B217" s="88"/>
      <c r="C217" s="16"/>
      <c r="D217" s="16"/>
      <c r="E217" s="9" t="s">
        <v>261</v>
      </c>
      <c r="F217" s="16"/>
      <c r="G217" s="20">
        <v>0</v>
      </c>
      <c r="H217" s="20">
        <v>0</v>
      </c>
      <c r="I217" s="143">
        <v>0</v>
      </c>
      <c r="J217" s="143">
        <f>SUM(J218:J220)</f>
        <v>27151413.129999999</v>
      </c>
      <c r="K217" s="143">
        <f t="shared" ref="K217:L217" si="24">SUM(K218:K220)</f>
        <v>0</v>
      </c>
      <c r="L217" s="143">
        <f t="shared" si="24"/>
        <v>0</v>
      </c>
      <c r="M217" s="89"/>
      <c r="N217" s="91"/>
    </row>
    <row r="218" spans="1:14" ht="40.5" customHeight="1">
      <c r="A218" s="181" t="s">
        <v>359</v>
      </c>
      <c r="B218" s="90" t="s">
        <v>73</v>
      </c>
      <c r="C218" s="16">
        <v>904</v>
      </c>
      <c r="D218" s="16">
        <v>702</v>
      </c>
      <c r="E218" s="1" t="s">
        <v>266</v>
      </c>
      <c r="F218" s="16"/>
      <c r="G218" s="72">
        <v>0</v>
      </c>
      <c r="H218" s="73">
        <v>0</v>
      </c>
      <c r="I218" s="141">
        <v>0</v>
      </c>
      <c r="J218" s="141">
        <v>23949990</v>
      </c>
      <c r="K218" s="141">
        <v>0</v>
      </c>
      <c r="L218" s="141">
        <v>0</v>
      </c>
      <c r="M218" s="184" t="s">
        <v>305</v>
      </c>
      <c r="N218" s="91"/>
    </row>
    <row r="219" spans="1:14" ht="40.5" customHeight="1">
      <c r="A219" s="181"/>
      <c r="B219" s="90" t="s">
        <v>304</v>
      </c>
      <c r="C219" s="16">
        <v>904</v>
      </c>
      <c r="D219" s="16">
        <v>702</v>
      </c>
      <c r="E219" s="1" t="s">
        <v>266</v>
      </c>
      <c r="F219" s="16"/>
      <c r="G219" s="72">
        <v>0</v>
      </c>
      <c r="H219" s="73">
        <v>0</v>
      </c>
      <c r="I219" s="141">
        <v>0</v>
      </c>
      <c r="J219" s="141">
        <v>2929909</v>
      </c>
      <c r="K219" s="141">
        <v>0</v>
      </c>
      <c r="L219" s="141">
        <v>0</v>
      </c>
      <c r="M219" s="185"/>
      <c r="N219" s="91"/>
    </row>
    <row r="220" spans="1:14" ht="39" customHeight="1">
      <c r="A220" s="181"/>
      <c r="B220" s="90" t="s">
        <v>70</v>
      </c>
      <c r="C220" s="16">
        <v>904</v>
      </c>
      <c r="D220" s="16">
        <v>702</v>
      </c>
      <c r="E220" s="1" t="s">
        <v>266</v>
      </c>
      <c r="F220" s="16"/>
      <c r="G220" s="72">
        <v>0</v>
      </c>
      <c r="H220" s="73">
        <v>0</v>
      </c>
      <c r="I220" s="141">
        <v>0</v>
      </c>
      <c r="J220" s="141">
        <v>271514.13</v>
      </c>
      <c r="K220" s="141">
        <v>0</v>
      </c>
      <c r="L220" s="141">
        <v>0</v>
      </c>
      <c r="M220" s="186"/>
      <c r="N220" s="91"/>
    </row>
    <row r="221" spans="1:14" ht="69" customHeight="1">
      <c r="A221" s="107" t="s">
        <v>209</v>
      </c>
      <c r="B221" s="63"/>
      <c r="C221" s="16"/>
      <c r="D221" s="16"/>
      <c r="E221" s="4" t="s">
        <v>24</v>
      </c>
      <c r="F221" s="16"/>
      <c r="G221" s="18">
        <f t="shared" ref="G221:K221" si="25">G222+G233+G237</f>
        <v>76618949.960000023</v>
      </c>
      <c r="H221" s="58">
        <f>H222+H233+H237+H243</f>
        <v>35331153.079999998</v>
      </c>
      <c r="I221" s="142">
        <f t="shared" si="25"/>
        <v>28205729.48</v>
      </c>
      <c r="J221" s="142">
        <f>J222+J233+J237</f>
        <v>35899265.600000001</v>
      </c>
      <c r="K221" s="142">
        <f t="shared" si="25"/>
        <v>35901722</v>
      </c>
      <c r="L221" s="142">
        <f t="shared" ref="L221" si="26">L222+L233+L237</f>
        <v>35901722</v>
      </c>
      <c r="M221" s="63"/>
      <c r="N221" s="5"/>
    </row>
    <row r="222" spans="1:14" ht="39" customHeight="1">
      <c r="A222" s="108" t="s">
        <v>156</v>
      </c>
      <c r="B222" s="14"/>
      <c r="C222" s="15"/>
      <c r="D222" s="15"/>
      <c r="E222" s="9" t="s">
        <v>25</v>
      </c>
      <c r="F222" s="15"/>
      <c r="G222" s="20">
        <f t="shared" ref="G222:L222" si="27">SUM(G223:G231)</f>
        <v>69423121.200000018</v>
      </c>
      <c r="H222" s="20">
        <f t="shared" si="27"/>
        <v>20049005.77</v>
      </c>
      <c r="I222" s="143">
        <f t="shared" si="27"/>
        <v>19251440.66</v>
      </c>
      <c r="J222" s="143">
        <f t="shared" si="27"/>
        <v>16664885.6</v>
      </c>
      <c r="K222" s="143">
        <f t="shared" si="27"/>
        <v>16667342</v>
      </c>
      <c r="L222" s="143">
        <f t="shared" si="27"/>
        <v>16667342</v>
      </c>
      <c r="M222" s="63"/>
      <c r="N222" s="5"/>
    </row>
    <row r="223" spans="1:14" ht="81.75" customHeight="1">
      <c r="A223" s="101" t="s">
        <v>226</v>
      </c>
      <c r="B223" s="63" t="s">
        <v>79</v>
      </c>
      <c r="C223" s="16">
        <v>905</v>
      </c>
      <c r="D223" s="16">
        <v>703</v>
      </c>
      <c r="E223" s="1" t="s">
        <v>27</v>
      </c>
      <c r="F223" s="16">
        <v>611</v>
      </c>
      <c r="G223" s="72">
        <v>18454513.5</v>
      </c>
      <c r="H223" s="73">
        <v>0</v>
      </c>
      <c r="I223" s="146">
        <v>0</v>
      </c>
      <c r="J223" s="146">
        <v>0</v>
      </c>
      <c r="K223" s="146">
        <v>0</v>
      </c>
      <c r="L223" s="146">
        <v>0</v>
      </c>
      <c r="M223" s="63" t="s">
        <v>167</v>
      </c>
      <c r="N223" s="207" t="s">
        <v>81</v>
      </c>
    </row>
    <row r="224" spans="1:14" ht="82.5" customHeight="1">
      <c r="A224" s="101" t="s">
        <v>227</v>
      </c>
      <c r="B224" s="63" t="s">
        <v>70</v>
      </c>
      <c r="C224" s="16">
        <v>904</v>
      </c>
      <c r="D224" s="16">
        <v>703</v>
      </c>
      <c r="E224" s="1" t="s">
        <v>26</v>
      </c>
      <c r="F224" s="16">
        <v>611</v>
      </c>
      <c r="G224" s="72">
        <v>15697265.6</v>
      </c>
      <c r="H224" s="73">
        <f>17185289+1660000</f>
        <v>18845289</v>
      </c>
      <c r="I224" s="141">
        <v>19182420.789999999</v>
      </c>
      <c r="J224" s="141">
        <v>16650885.6</v>
      </c>
      <c r="K224" s="141">
        <v>16650885.6</v>
      </c>
      <c r="L224" s="141">
        <v>16650885.6</v>
      </c>
      <c r="M224" s="63" t="s">
        <v>167</v>
      </c>
      <c r="N224" s="208"/>
    </row>
    <row r="225" spans="1:18" ht="82.5" customHeight="1">
      <c r="A225" s="101" t="s">
        <v>188</v>
      </c>
      <c r="B225" s="63" t="s">
        <v>79</v>
      </c>
      <c r="C225" s="16">
        <v>905</v>
      </c>
      <c r="D225" s="16">
        <v>703</v>
      </c>
      <c r="E225" s="1" t="s">
        <v>28</v>
      </c>
      <c r="F225" s="16">
        <v>611</v>
      </c>
      <c r="G225" s="72">
        <v>34641197.700000003</v>
      </c>
      <c r="H225" s="156">
        <v>0</v>
      </c>
      <c r="I225" s="157">
        <v>0</v>
      </c>
      <c r="J225" s="157">
        <v>0</v>
      </c>
      <c r="K225" s="157">
        <v>0</v>
      </c>
      <c r="L225" s="157">
        <v>0</v>
      </c>
      <c r="M225" s="63" t="s">
        <v>167</v>
      </c>
      <c r="N225" s="208"/>
    </row>
    <row r="226" spans="1:18" ht="98.25" customHeight="1">
      <c r="A226" s="87" t="s">
        <v>249</v>
      </c>
      <c r="B226" s="63" t="s">
        <v>71</v>
      </c>
      <c r="C226" s="45">
        <v>904</v>
      </c>
      <c r="D226" s="45">
        <v>703</v>
      </c>
      <c r="E226" s="42" t="s">
        <v>250</v>
      </c>
      <c r="F226" s="44"/>
      <c r="G226" s="125">
        <v>0</v>
      </c>
      <c r="H226" s="124">
        <v>15011.77</v>
      </c>
      <c r="I226" s="144">
        <v>0</v>
      </c>
      <c r="J226" s="144">
        <v>0</v>
      </c>
      <c r="K226" s="144">
        <v>0</v>
      </c>
      <c r="L226" s="144">
        <v>0</v>
      </c>
      <c r="M226" s="10" t="s">
        <v>291</v>
      </c>
      <c r="N226" s="208"/>
    </row>
    <row r="227" spans="1:18" ht="51" hidden="1" customHeight="1">
      <c r="A227" s="181" t="s">
        <v>157</v>
      </c>
      <c r="B227" s="63" t="s">
        <v>68</v>
      </c>
      <c r="C227" s="16">
        <v>910</v>
      </c>
      <c r="D227" s="16">
        <v>703</v>
      </c>
      <c r="E227" s="1" t="s">
        <v>58</v>
      </c>
      <c r="F227" s="16">
        <v>243</v>
      </c>
      <c r="G227" s="72"/>
      <c r="H227" s="73"/>
      <c r="I227" s="141"/>
      <c r="J227" s="141"/>
      <c r="K227" s="141"/>
      <c r="L227" s="141"/>
      <c r="M227" s="63" t="s">
        <v>139</v>
      </c>
      <c r="N227" s="208"/>
    </row>
    <row r="228" spans="1:18" ht="81" hidden="1" customHeight="1">
      <c r="A228" s="181"/>
      <c r="B228" s="63" t="s">
        <v>69</v>
      </c>
      <c r="C228" s="16">
        <v>905</v>
      </c>
      <c r="D228" s="16">
        <v>703</v>
      </c>
      <c r="E228" s="1" t="s">
        <v>58</v>
      </c>
      <c r="F228" s="16">
        <v>612</v>
      </c>
      <c r="G228" s="72"/>
      <c r="H228" s="73"/>
      <c r="I228" s="141"/>
      <c r="J228" s="141"/>
      <c r="K228" s="141"/>
      <c r="L228" s="141"/>
      <c r="M228" s="63" t="s">
        <v>91</v>
      </c>
      <c r="N228" s="208"/>
    </row>
    <row r="229" spans="1:18" ht="81" hidden="1" customHeight="1">
      <c r="A229" s="182" t="s">
        <v>251</v>
      </c>
      <c r="B229" s="63" t="s">
        <v>71</v>
      </c>
      <c r="C229" s="16">
        <v>904</v>
      </c>
      <c r="D229" s="16">
        <v>703</v>
      </c>
      <c r="E229" s="1" t="s">
        <v>246</v>
      </c>
      <c r="F229" s="16">
        <v>612</v>
      </c>
      <c r="G229" s="72"/>
      <c r="H229" s="73">
        <f>15011.77-15011.77</f>
        <v>0</v>
      </c>
      <c r="I229" s="141"/>
      <c r="J229" s="141"/>
      <c r="K229" s="141"/>
      <c r="L229" s="141"/>
      <c r="M229" s="63"/>
      <c r="N229" s="208"/>
    </row>
    <row r="230" spans="1:18" ht="128.25" customHeight="1">
      <c r="A230" s="187"/>
      <c r="B230" s="63" t="s">
        <v>70</v>
      </c>
      <c r="C230" s="16">
        <v>904</v>
      </c>
      <c r="D230" s="16">
        <v>703</v>
      </c>
      <c r="E230" s="16">
        <v>3220122410</v>
      </c>
      <c r="F230" s="16">
        <v>612</v>
      </c>
      <c r="G230" s="73">
        <v>64000</v>
      </c>
      <c r="H230" s="73">
        <f>1218705-30000</f>
        <v>1188705</v>
      </c>
      <c r="I230" s="141">
        <f>39870+29149.87</f>
        <v>69019.87</v>
      </c>
      <c r="J230" s="141">
        <v>14000</v>
      </c>
      <c r="K230" s="141">
        <v>16456.400000000001</v>
      </c>
      <c r="L230" s="141">
        <v>16456.400000000001</v>
      </c>
      <c r="M230" s="63" t="s">
        <v>175</v>
      </c>
      <c r="N230" s="208"/>
      <c r="O230" s="46"/>
      <c r="P230" s="46"/>
      <c r="Q230" s="46"/>
      <c r="R230" s="46"/>
    </row>
    <row r="231" spans="1:18" ht="54" customHeight="1">
      <c r="A231" s="183"/>
      <c r="B231" s="63" t="s">
        <v>79</v>
      </c>
      <c r="C231" s="16">
        <v>905</v>
      </c>
      <c r="D231" s="16">
        <v>703</v>
      </c>
      <c r="E231" s="16">
        <v>3220122410</v>
      </c>
      <c r="F231" s="16">
        <v>612</v>
      </c>
      <c r="G231" s="72">
        <v>566144.4</v>
      </c>
      <c r="H231" s="73">
        <v>0</v>
      </c>
      <c r="I231" s="141">
        <v>0</v>
      </c>
      <c r="J231" s="141">
        <v>0</v>
      </c>
      <c r="K231" s="141">
        <v>0</v>
      </c>
      <c r="L231" s="141">
        <v>0</v>
      </c>
      <c r="M231" s="63" t="s">
        <v>92</v>
      </c>
      <c r="N231" s="208"/>
      <c r="O231" s="46"/>
      <c r="P231" s="46"/>
      <c r="Q231" s="46"/>
      <c r="R231" s="46"/>
    </row>
    <row r="232" spans="1:18" ht="63.75" hidden="1" customHeight="1">
      <c r="A232" s="101" t="s">
        <v>59</v>
      </c>
      <c r="B232" s="63" t="s">
        <v>69</v>
      </c>
      <c r="C232" s="16">
        <v>905</v>
      </c>
      <c r="D232" s="16">
        <v>702</v>
      </c>
      <c r="E232" s="16">
        <v>3220179120</v>
      </c>
      <c r="F232" s="16">
        <v>611</v>
      </c>
      <c r="G232" s="72"/>
      <c r="H232" s="73"/>
      <c r="I232" s="141"/>
      <c r="J232" s="133"/>
      <c r="K232" s="133"/>
      <c r="L232" s="133"/>
      <c r="M232" s="63" t="s">
        <v>60</v>
      </c>
      <c r="N232" s="209"/>
      <c r="O232" s="46"/>
      <c r="P232" s="46"/>
      <c r="Q232" s="46"/>
      <c r="R232" s="46"/>
    </row>
    <row r="233" spans="1:18" ht="67.5" customHeight="1">
      <c r="A233" s="108" t="s">
        <v>158</v>
      </c>
      <c r="B233" s="14"/>
      <c r="C233" s="15"/>
      <c r="D233" s="15"/>
      <c r="E233" s="9" t="s">
        <v>29</v>
      </c>
      <c r="F233" s="15"/>
      <c r="G233" s="20">
        <f t="shared" ref="G233:L233" si="28">G234+G235+G236</f>
        <v>343000</v>
      </c>
      <c r="H233" s="20">
        <f t="shared" si="28"/>
        <v>1086980.04</v>
      </c>
      <c r="I233" s="143">
        <f t="shared" si="28"/>
        <v>240100</v>
      </c>
      <c r="J233" s="143">
        <f t="shared" si="28"/>
        <v>350000</v>
      </c>
      <c r="K233" s="143">
        <f t="shared" si="28"/>
        <v>350000</v>
      </c>
      <c r="L233" s="143">
        <f t="shared" si="28"/>
        <v>350000</v>
      </c>
      <c r="M233" s="63"/>
      <c r="N233" s="5"/>
    </row>
    <row r="234" spans="1:18" ht="142.5" customHeight="1">
      <c r="A234" s="182" t="s">
        <v>210</v>
      </c>
      <c r="B234" s="184" t="s">
        <v>70</v>
      </c>
      <c r="C234" s="16">
        <v>904</v>
      </c>
      <c r="D234" s="16">
        <v>709</v>
      </c>
      <c r="E234" s="1" t="s">
        <v>30</v>
      </c>
      <c r="F234" s="16">
        <v>244</v>
      </c>
      <c r="G234" s="72">
        <v>298000</v>
      </c>
      <c r="H234" s="73">
        <f>468000+500000+43300+8000-4319.96</f>
        <v>1014980.04</v>
      </c>
      <c r="I234" s="141">
        <f>169000-8900</f>
        <v>160100</v>
      </c>
      <c r="J234" s="141">
        <v>200000</v>
      </c>
      <c r="K234" s="141">
        <v>200000</v>
      </c>
      <c r="L234" s="159">
        <v>200000</v>
      </c>
      <c r="M234" s="184" t="s">
        <v>176</v>
      </c>
      <c r="N234" s="207" t="s">
        <v>107</v>
      </c>
    </row>
    <row r="235" spans="1:18" ht="84" hidden="1" customHeight="1">
      <c r="A235" s="187"/>
      <c r="B235" s="185"/>
      <c r="C235" s="16">
        <v>904</v>
      </c>
      <c r="D235" s="16">
        <v>709</v>
      </c>
      <c r="E235" s="1" t="s">
        <v>30</v>
      </c>
      <c r="F235" s="16">
        <v>122</v>
      </c>
      <c r="G235" s="72"/>
      <c r="H235" s="73"/>
      <c r="I235" s="141"/>
      <c r="J235" s="141"/>
      <c r="K235" s="141"/>
      <c r="L235" s="158"/>
      <c r="M235" s="186"/>
      <c r="N235" s="208"/>
    </row>
    <row r="236" spans="1:18" ht="15.75" customHeight="1">
      <c r="A236" s="183"/>
      <c r="B236" s="186"/>
      <c r="C236" s="16">
        <v>904</v>
      </c>
      <c r="D236" s="16">
        <v>709</v>
      </c>
      <c r="E236" s="1" t="s">
        <v>30</v>
      </c>
      <c r="F236" s="16">
        <v>350</v>
      </c>
      <c r="G236" s="72">
        <v>45000</v>
      </c>
      <c r="H236" s="73">
        <f>80000-8000</f>
        <v>72000</v>
      </c>
      <c r="I236" s="141">
        <v>80000</v>
      </c>
      <c r="J236" s="141">
        <v>150000</v>
      </c>
      <c r="K236" s="141">
        <v>150000</v>
      </c>
      <c r="L236" s="141">
        <v>150000</v>
      </c>
      <c r="M236" s="13" t="s">
        <v>177</v>
      </c>
      <c r="N236" s="209"/>
    </row>
    <row r="237" spans="1:18" ht="72" customHeight="1">
      <c r="A237" s="110" t="s">
        <v>159</v>
      </c>
      <c r="B237" s="68"/>
      <c r="C237" s="16"/>
      <c r="D237" s="16"/>
      <c r="E237" s="9" t="s">
        <v>142</v>
      </c>
      <c r="F237" s="16"/>
      <c r="G237" s="20">
        <f t="shared" ref="G237:H237" si="29">G238+G239+G240+G241+G242</f>
        <v>6852828.7599999998</v>
      </c>
      <c r="H237" s="20">
        <f t="shared" si="29"/>
        <v>7218840</v>
      </c>
      <c r="I237" s="143">
        <f>I238+I239+I240+I241+I242</f>
        <v>8714188.8200000003</v>
      </c>
      <c r="J237" s="143">
        <f>J238+J239+J240+J241</f>
        <v>18884380</v>
      </c>
      <c r="K237" s="143">
        <f t="shared" ref="K237:L237" si="30">K238+K239+K240+K241</f>
        <v>18884380</v>
      </c>
      <c r="L237" s="143">
        <f t="shared" si="30"/>
        <v>18884380</v>
      </c>
      <c r="M237" s="13"/>
      <c r="N237" s="71"/>
    </row>
    <row r="238" spans="1:18" ht="51.75" customHeight="1">
      <c r="A238" s="182" t="s">
        <v>187</v>
      </c>
      <c r="B238" s="184" t="s">
        <v>70</v>
      </c>
      <c r="C238" s="16">
        <v>904</v>
      </c>
      <c r="D238" s="16" t="s">
        <v>140</v>
      </c>
      <c r="E238" s="1" t="s">
        <v>141</v>
      </c>
      <c r="F238" s="16">
        <v>611</v>
      </c>
      <c r="G238" s="72">
        <v>6852828.7599999998</v>
      </c>
      <c r="H238" s="73">
        <f>12918840-5760000</f>
        <v>7158840</v>
      </c>
      <c r="I238" s="141">
        <v>8714188.8200000003</v>
      </c>
      <c r="J238" s="141">
        <f>18486560.52+258321</f>
        <v>18744881.52</v>
      </c>
      <c r="K238" s="141">
        <f>18486560.52+258321</f>
        <v>18744881.52</v>
      </c>
      <c r="L238" s="141">
        <f>18486560.52+258321</f>
        <v>18744881.52</v>
      </c>
      <c r="M238" s="184" t="s">
        <v>224</v>
      </c>
      <c r="N238" s="71"/>
    </row>
    <row r="239" spans="1:18" ht="34.9" customHeight="1">
      <c r="A239" s="187"/>
      <c r="B239" s="185"/>
      <c r="C239" s="16">
        <v>904</v>
      </c>
      <c r="D239" s="16" t="s">
        <v>140</v>
      </c>
      <c r="E239" s="1" t="s">
        <v>141</v>
      </c>
      <c r="F239" s="16">
        <v>620</v>
      </c>
      <c r="G239" s="72">
        <v>0</v>
      </c>
      <c r="H239" s="73">
        <v>20000</v>
      </c>
      <c r="I239" s="141">
        <v>0</v>
      </c>
      <c r="J239" s="141">
        <v>49498.48</v>
      </c>
      <c r="K239" s="141">
        <v>49498.48</v>
      </c>
      <c r="L239" s="141">
        <v>49498.48</v>
      </c>
      <c r="M239" s="185"/>
      <c r="N239" s="71"/>
    </row>
    <row r="240" spans="1:18" ht="21.75" customHeight="1">
      <c r="A240" s="187"/>
      <c r="B240" s="185"/>
      <c r="C240" s="16">
        <v>904</v>
      </c>
      <c r="D240" s="16" t="s">
        <v>140</v>
      </c>
      <c r="E240" s="1" t="s">
        <v>141</v>
      </c>
      <c r="F240" s="16">
        <v>630</v>
      </c>
      <c r="G240" s="72">
        <v>0</v>
      </c>
      <c r="H240" s="73">
        <v>20000</v>
      </c>
      <c r="I240" s="141">
        <v>0</v>
      </c>
      <c r="J240" s="141">
        <v>45000</v>
      </c>
      <c r="K240" s="141">
        <v>45000</v>
      </c>
      <c r="L240" s="141">
        <v>45000</v>
      </c>
      <c r="M240" s="185"/>
      <c r="N240" s="71"/>
    </row>
    <row r="241" spans="1:14" ht="18" customHeight="1">
      <c r="A241" s="187"/>
      <c r="B241" s="186"/>
      <c r="C241" s="16">
        <v>904</v>
      </c>
      <c r="D241" s="16" t="s">
        <v>140</v>
      </c>
      <c r="E241" s="1" t="s">
        <v>141</v>
      </c>
      <c r="F241" s="16">
        <v>810</v>
      </c>
      <c r="G241" s="72">
        <v>0</v>
      </c>
      <c r="H241" s="73">
        <v>20000</v>
      </c>
      <c r="I241" s="141">
        <v>0</v>
      </c>
      <c r="J241" s="141">
        <v>45000</v>
      </c>
      <c r="K241" s="141">
        <v>45000</v>
      </c>
      <c r="L241" s="141">
        <v>45000</v>
      </c>
      <c r="M241" s="186"/>
      <c r="N241" s="71"/>
    </row>
    <row r="242" spans="1:14" ht="33" hidden="1" customHeight="1">
      <c r="A242" s="183"/>
      <c r="B242" s="68"/>
      <c r="C242" s="16"/>
      <c r="D242" s="16"/>
      <c r="E242" s="1"/>
      <c r="F242" s="16"/>
      <c r="G242" s="72"/>
      <c r="H242" s="73"/>
      <c r="I242" s="141"/>
      <c r="J242" s="133"/>
      <c r="K242" s="133"/>
      <c r="L242" s="133"/>
      <c r="M242" s="13"/>
      <c r="N242" s="71"/>
    </row>
    <row r="243" spans="1:14" ht="49.5" customHeight="1">
      <c r="A243" s="108" t="s">
        <v>238</v>
      </c>
      <c r="B243" s="68"/>
      <c r="C243" s="16"/>
      <c r="D243" s="16"/>
      <c r="E243" s="9" t="s">
        <v>241</v>
      </c>
      <c r="F243" s="16"/>
      <c r="G243" s="18">
        <v>0</v>
      </c>
      <c r="H243" s="54">
        <f>H244+H245+H246</f>
        <v>6976327.2699999996</v>
      </c>
      <c r="I243" s="147">
        <f t="shared" ref="I243:L243" si="31">I244+I245+I246</f>
        <v>0</v>
      </c>
      <c r="J243" s="147">
        <f t="shared" si="31"/>
        <v>0</v>
      </c>
      <c r="K243" s="147">
        <f t="shared" si="31"/>
        <v>0</v>
      </c>
      <c r="L243" s="147">
        <f t="shared" si="31"/>
        <v>0</v>
      </c>
      <c r="M243" s="13"/>
      <c r="N243" s="71"/>
    </row>
    <row r="244" spans="1:14" ht="44.25" customHeight="1">
      <c r="A244" s="204" t="s">
        <v>239</v>
      </c>
      <c r="B244" s="68" t="s">
        <v>74</v>
      </c>
      <c r="C244" s="16">
        <v>904</v>
      </c>
      <c r="D244" s="16">
        <v>703</v>
      </c>
      <c r="E244" s="1" t="s">
        <v>240</v>
      </c>
      <c r="F244" s="16">
        <v>612</v>
      </c>
      <c r="G244" s="72">
        <v>0</v>
      </c>
      <c r="H244" s="73">
        <v>6837498.3600000003</v>
      </c>
      <c r="I244" s="141">
        <v>0</v>
      </c>
      <c r="J244" s="141">
        <v>0</v>
      </c>
      <c r="K244" s="141">
        <v>0</v>
      </c>
      <c r="L244" s="141">
        <v>0</v>
      </c>
      <c r="M244" s="207"/>
      <c r="N244" s="71"/>
    </row>
    <row r="245" spans="1:14" ht="51" customHeight="1">
      <c r="A245" s="205"/>
      <c r="B245" s="68" t="s">
        <v>71</v>
      </c>
      <c r="C245" s="16">
        <v>904</v>
      </c>
      <c r="D245" s="16">
        <v>703</v>
      </c>
      <c r="E245" s="1" t="s">
        <v>240</v>
      </c>
      <c r="F245" s="16">
        <v>612</v>
      </c>
      <c r="G245" s="72">
        <v>0</v>
      </c>
      <c r="H245" s="73">
        <v>69065.64</v>
      </c>
      <c r="I245" s="141">
        <v>0</v>
      </c>
      <c r="J245" s="141">
        <v>0</v>
      </c>
      <c r="K245" s="141">
        <v>0</v>
      </c>
      <c r="L245" s="141">
        <v>0</v>
      </c>
      <c r="M245" s="208"/>
      <c r="N245" s="71"/>
    </row>
    <row r="246" spans="1:14" ht="51.75" customHeight="1">
      <c r="A246" s="206"/>
      <c r="B246" s="68" t="s">
        <v>70</v>
      </c>
      <c r="C246" s="16">
        <v>904</v>
      </c>
      <c r="D246" s="16">
        <v>703</v>
      </c>
      <c r="E246" s="1" t="s">
        <v>240</v>
      </c>
      <c r="F246" s="16">
        <v>612</v>
      </c>
      <c r="G246" s="72">
        <v>0</v>
      </c>
      <c r="H246" s="73">
        <f>69764-0.73</f>
        <v>69763.27</v>
      </c>
      <c r="I246" s="141">
        <v>0</v>
      </c>
      <c r="J246" s="141">
        <v>0</v>
      </c>
      <c r="K246" s="141">
        <v>0</v>
      </c>
      <c r="L246" s="158">
        <v>0</v>
      </c>
      <c r="M246" s="209"/>
      <c r="N246" s="71"/>
    </row>
    <row r="247" spans="1:14" ht="36" customHeight="1">
      <c r="A247" s="107" t="s">
        <v>160</v>
      </c>
      <c r="B247" s="63"/>
      <c r="C247" s="16"/>
      <c r="D247" s="13"/>
      <c r="E247" s="4" t="s">
        <v>34</v>
      </c>
      <c r="F247" s="16"/>
      <c r="G247" s="18">
        <f t="shared" ref="G247:L247" si="32">G248</f>
        <v>279000</v>
      </c>
      <c r="H247" s="18">
        <f t="shared" si="32"/>
        <v>1258326</v>
      </c>
      <c r="I247" s="142">
        <f t="shared" si="32"/>
        <v>752475.5</v>
      </c>
      <c r="J247" s="142">
        <f t="shared" si="32"/>
        <v>508200</v>
      </c>
      <c r="K247" s="142">
        <f t="shared" si="32"/>
        <v>738200</v>
      </c>
      <c r="L247" s="142">
        <f t="shared" si="32"/>
        <v>738200</v>
      </c>
      <c r="M247" s="63"/>
      <c r="N247" s="5"/>
    </row>
    <row r="248" spans="1:14" ht="56.25" customHeight="1">
      <c r="A248" s="108" t="s">
        <v>161</v>
      </c>
      <c r="B248" s="14"/>
      <c r="C248" s="15"/>
      <c r="D248" s="19"/>
      <c r="E248" s="9" t="s">
        <v>35</v>
      </c>
      <c r="F248" s="15"/>
      <c r="G248" s="20">
        <f t="shared" ref="G248:K248" si="33">SUM(G249:G255)</f>
        <v>279000</v>
      </c>
      <c r="H248" s="20">
        <f t="shared" si="33"/>
        <v>1258326</v>
      </c>
      <c r="I248" s="143">
        <f t="shared" si="33"/>
        <v>752475.5</v>
      </c>
      <c r="J248" s="143">
        <f t="shared" si="33"/>
        <v>508200</v>
      </c>
      <c r="K248" s="143">
        <f t="shared" si="33"/>
        <v>738200</v>
      </c>
      <c r="L248" s="143">
        <f t="shared" ref="L248" si="34">SUM(L249:L255)</f>
        <v>738200</v>
      </c>
      <c r="M248" s="63"/>
      <c r="N248" s="5"/>
    </row>
    <row r="249" spans="1:14" ht="32.25" customHeight="1">
      <c r="A249" s="181" t="s">
        <v>162</v>
      </c>
      <c r="B249" s="180" t="s">
        <v>79</v>
      </c>
      <c r="C249" s="16">
        <v>905</v>
      </c>
      <c r="D249" s="16">
        <v>703</v>
      </c>
      <c r="E249" s="1" t="s">
        <v>36</v>
      </c>
      <c r="F249" s="16">
        <v>612</v>
      </c>
      <c r="G249" s="72">
        <v>40000</v>
      </c>
      <c r="H249" s="73">
        <f>40000</f>
        <v>40000</v>
      </c>
      <c r="I249" s="141">
        <f>40000-29200</f>
        <v>10800</v>
      </c>
      <c r="J249" s="141">
        <v>40000</v>
      </c>
      <c r="K249" s="141">
        <v>40000</v>
      </c>
      <c r="L249" s="141">
        <v>40000</v>
      </c>
      <c r="M249" s="63" t="s">
        <v>178</v>
      </c>
      <c r="N249" s="207" t="s">
        <v>108</v>
      </c>
    </row>
    <row r="250" spans="1:14" ht="34.5" customHeight="1">
      <c r="A250" s="181"/>
      <c r="B250" s="180"/>
      <c r="C250" s="16">
        <v>905</v>
      </c>
      <c r="D250" s="16">
        <v>801</v>
      </c>
      <c r="E250" s="1" t="s">
        <v>36</v>
      </c>
      <c r="F250" s="16">
        <v>612</v>
      </c>
      <c r="G250" s="72">
        <v>70000</v>
      </c>
      <c r="H250" s="73">
        <v>120000</v>
      </c>
      <c r="I250" s="141">
        <v>110800</v>
      </c>
      <c r="J250" s="141">
        <v>141800</v>
      </c>
      <c r="K250" s="141">
        <v>141800</v>
      </c>
      <c r="L250" s="141">
        <v>141800</v>
      </c>
      <c r="M250" s="63" t="s">
        <v>179</v>
      </c>
      <c r="N250" s="208"/>
    </row>
    <row r="251" spans="1:14" ht="30" customHeight="1">
      <c r="A251" s="181"/>
      <c r="B251" s="180"/>
      <c r="C251" s="16">
        <v>905</v>
      </c>
      <c r="D251" s="16">
        <v>804</v>
      </c>
      <c r="E251" s="1" t="s">
        <v>36</v>
      </c>
      <c r="F251" s="16">
        <v>630</v>
      </c>
      <c r="G251" s="72">
        <v>8000</v>
      </c>
      <c r="H251" s="73">
        <v>0</v>
      </c>
      <c r="I251" s="146">
        <v>0</v>
      </c>
      <c r="J251" s="146">
        <v>0</v>
      </c>
      <c r="K251" s="146">
        <v>0</v>
      </c>
      <c r="L251" s="146">
        <v>0</v>
      </c>
      <c r="M251" s="63" t="s">
        <v>180</v>
      </c>
      <c r="N251" s="208"/>
    </row>
    <row r="252" spans="1:14" ht="30" customHeight="1">
      <c r="A252" s="181"/>
      <c r="B252" s="180"/>
      <c r="C252" s="16">
        <v>905</v>
      </c>
      <c r="D252" s="16">
        <v>804</v>
      </c>
      <c r="E252" s="1" t="s">
        <v>36</v>
      </c>
      <c r="F252" s="16">
        <v>244</v>
      </c>
      <c r="G252" s="72">
        <v>39000</v>
      </c>
      <c r="H252" s="73">
        <v>0</v>
      </c>
      <c r="I252" s="146">
        <v>0</v>
      </c>
      <c r="J252" s="146">
        <v>0</v>
      </c>
      <c r="K252" s="146">
        <v>0</v>
      </c>
      <c r="L252" s="146">
        <v>0</v>
      </c>
      <c r="M252" s="63" t="s">
        <v>225</v>
      </c>
      <c r="N252" s="208"/>
    </row>
    <row r="253" spans="1:14" ht="34.5" customHeight="1">
      <c r="A253" s="181"/>
      <c r="B253" s="180" t="s">
        <v>70</v>
      </c>
      <c r="C253" s="16">
        <v>904</v>
      </c>
      <c r="D253" s="16">
        <v>703</v>
      </c>
      <c r="E253" s="1" t="s">
        <v>36</v>
      </c>
      <c r="F253" s="16">
        <v>612</v>
      </c>
      <c r="G253" s="72">
        <v>87000</v>
      </c>
      <c r="H253" s="73">
        <f>515050+605000-30000</f>
        <v>1090050</v>
      </c>
      <c r="I253" s="141">
        <f>531400+120000-40000</f>
        <v>611400</v>
      </c>
      <c r="J253" s="141">
        <v>301400</v>
      </c>
      <c r="K253" s="141">
        <v>531400</v>
      </c>
      <c r="L253" s="141">
        <v>531400</v>
      </c>
      <c r="M253" s="63" t="s">
        <v>181</v>
      </c>
      <c r="N253" s="208"/>
    </row>
    <row r="254" spans="1:14" hidden="1">
      <c r="A254" s="181"/>
      <c r="B254" s="180"/>
      <c r="C254" s="16">
        <v>904</v>
      </c>
      <c r="D254" s="16">
        <v>709</v>
      </c>
      <c r="E254" s="1" t="s">
        <v>36</v>
      </c>
      <c r="F254" s="16">
        <v>122</v>
      </c>
      <c r="G254" s="72"/>
      <c r="H254" s="73"/>
      <c r="I254" s="141"/>
      <c r="J254" s="141"/>
      <c r="K254" s="141"/>
      <c r="L254" s="141"/>
      <c r="M254" s="63" t="s">
        <v>57</v>
      </c>
      <c r="N254" s="208"/>
    </row>
    <row r="255" spans="1:14" ht="15.75" customHeight="1">
      <c r="A255" s="181"/>
      <c r="B255" s="180"/>
      <c r="C255" s="16">
        <v>904</v>
      </c>
      <c r="D255" s="16">
        <v>709</v>
      </c>
      <c r="E255" s="1" t="s">
        <v>36</v>
      </c>
      <c r="F255" s="16">
        <v>244</v>
      </c>
      <c r="G255" s="72">
        <v>35000</v>
      </c>
      <c r="H255" s="73">
        <f>35000-14340-12384</f>
        <v>8276</v>
      </c>
      <c r="I255" s="141">
        <v>19475.5</v>
      </c>
      <c r="J255" s="141">
        <v>25000</v>
      </c>
      <c r="K255" s="141">
        <v>25000</v>
      </c>
      <c r="L255" s="141">
        <v>25000</v>
      </c>
      <c r="M255" s="63" t="s">
        <v>182</v>
      </c>
      <c r="N255" s="209"/>
    </row>
    <row r="256" spans="1:14" ht="22.5" hidden="1" customHeight="1">
      <c r="A256" s="113"/>
      <c r="B256" s="25"/>
      <c r="C256" s="26"/>
      <c r="D256" s="26"/>
      <c r="E256" s="27"/>
      <c r="F256" s="26"/>
      <c r="G256" s="28"/>
      <c r="H256" s="59"/>
      <c r="I256" s="149"/>
      <c r="J256" s="149"/>
      <c r="K256" s="149"/>
      <c r="L256" s="149"/>
      <c r="M256" s="25"/>
      <c r="N256" s="26"/>
    </row>
    <row r="257" spans="1:14" ht="22.5" hidden="1" customHeight="1">
      <c r="A257" s="113"/>
      <c r="B257" s="25"/>
      <c r="C257" s="26"/>
      <c r="D257" s="26"/>
      <c r="E257" s="27"/>
      <c r="F257" s="26"/>
      <c r="G257" s="28"/>
      <c r="H257" s="59"/>
      <c r="I257" s="149"/>
      <c r="J257" s="149"/>
      <c r="K257" s="149"/>
      <c r="L257" s="149"/>
      <c r="M257" s="25"/>
      <c r="N257" s="26"/>
    </row>
    <row r="258" spans="1:14" ht="22.5" hidden="1" customHeight="1">
      <c r="A258" s="113"/>
      <c r="B258" s="25"/>
      <c r="C258" s="26"/>
      <c r="D258" s="26"/>
      <c r="E258" s="27"/>
      <c r="F258" s="26"/>
      <c r="G258" s="28"/>
      <c r="H258" s="59"/>
      <c r="I258" s="149"/>
      <c r="J258" s="149"/>
      <c r="K258" s="149"/>
      <c r="L258" s="149"/>
      <c r="M258" s="25"/>
      <c r="N258" s="26"/>
    </row>
    <row r="259" spans="1:14" ht="22.5" hidden="1" customHeight="1">
      <c r="A259" s="113"/>
      <c r="B259" s="25"/>
      <c r="C259" s="26"/>
      <c r="D259" s="26"/>
      <c r="E259" s="27"/>
      <c r="F259" s="26"/>
      <c r="G259" s="28"/>
      <c r="H259" s="59"/>
      <c r="I259" s="149"/>
      <c r="J259" s="149"/>
      <c r="K259" s="149"/>
      <c r="L259" s="149"/>
      <c r="M259" s="25"/>
      <c r="N259" s="26"/>
    </row>
    <row r="260" spans="1:14" ht="22.5" hidden="1" customHeight="1">
      <c r="A260" s="113"/>
      <c r="B260" s="25"/>
      <c r="C260" s="26"/>
      <c r="D260" s="26"/>
      <c r="E260" s="27"/>
      <c r="F260" s="26"/>
      <c r="G260" s="28"/>
      <c r="H260" s="59"/>
      <c r="I260" s="149"/>
      <c r="J260" s="149"/>
      <c r="K260" s="149"/>
      <c r="L260" s="149"/>
      <c r="M260" s="25"/>
      <c r="N260" s="26"/>
    </row>
    <row r="261" spans="1:14" ht="25.5" customHeight="1">
      <c r="A261" s="114"/>
      <c r="B261" s="47"/>
      <c r="C261" s="48"/>
      <c r="D261" s="48"/>
      <c r="E261" s="49"/>
      <c r="F261" s="50"/>
      <c r="G261" s="51"/>
      <c r="H261" s="60"/>
      <c r="I261" s="150"/>
      <c r="J261" s="150"/>
      <c r="K261" s="150"/>
      <c r="L261" s="150"/>
      <c r="M261" s="52"/>
      <c r="N261" s="47"/>
    </row>
    <row r="262" spans="1:14" ht="69.75" customHeight="1">
      <c r="A262" s="192" t="s">
        <v>377</v>
      </c>
      <c r="B262" s="192"/>
      <c r="C262" s="192"/>
      <c r="D262" s="192"/>
      <c r="E262" s="192"/>
      <c r="F262" s="192"/>
      <c r="G262" s="192"/>
      <c r="H262" s="192"/>
      <c r="J262" s="151"/>
      <c r="K262" s="151"/>
      <c r="L262" s="151"/>
      <c r="M262" s="53" t="s">
        <v>163</v>
      </c>
    </row>
    <row r="263" spans="1:14">
      <c r="A263" s="201"/>
      <c r="B263" s="201"/>
      <c r="C263" s="201"/>
      <c r="D263" s="201"/>
      <c r="E263" s="201"/>
      <c r="F263" s="201"/>
      <c r="G263" s="24"/>
      <c r="H263" s="61"/>
      <c r="I263" s="152"/>
      <c r="J263" s="135"/>
      <c r="K263" s="135"/>
      <c r="L263" s="135"/>
      <c r="M263" s="66"/>
    </row>
    <row r="264" spans="1:14" ht="15.75" customHeight="1">
      <c r="A264" s="201"/>
      <c r="B264" s="201"/>
      <c r="C264" s="201"/>
      <c r="D264" s="201"/>
      <c r="E264" s="201"/>
      <c r="F264" s="201"/>
      <c r="G264" s="24"/>
      <c r="H264" s="61"/>
      <c r="I264" s="152"/>
      <c r="J264" s="135"/>
      <c r="K264" s="135"/>
      <c r="L264" s="135"/>
    </row>
    <row r="265" spans="1:14">
      <c r="A265" s="201"/>
      <c r="B265" s="201"/>
      <c r="C265" s="201"/>
      <c r="D265" s="201"/>
      <c r="E265" s="201"/>
      <c r="F265" s="201"/>
      <c r="G265" s="24"/>
      <c r="H265" s="61"/>
      <c r="I265" s="152"/>
      <c r="J265" s="135"/>
      <c r="K265" s="135"/>
      <c r="L265" s="135"/>
    </row>
  </sheetData>
  <mergeCells count="121">
    <mergeCell ref="N249:N255"/>
    <mergeCell ref="N46:N58"/>
    <mergeCell ref="N142:N151"/>
    <mergeCell ref="M244:M246"/>
    <mergeCell ref="M238:M241"/>
    <mergeCell ref="A171:A173"/>
    <mergeCell ref="M171:M173"/>
    <mergeCell ref="M174:M175"/>
    <mergeCell ref="M194:M195"/>
    <mergeCell ref="M196:M197"/>
    <mergeCell ref="M168:M170"/>
    <mergeCell ref="A159:A161"/>
    <mergeCell ref="A162:A164"/>
    <mergeCell ref="M159:M161"/>
    <mergeCell ref="M162:M164"/>
    <mergeCell ref="A168:A170"/>
    <mergeCell ref="N234:N236"/>
    <mergeCell ref="M109:M111"/>
    <mergeCell ref="N223:N232"/>
    <mergeCell ref="M104:M108"/>
    <mergeCell ref="M115:M123"/>
    <mergeCell ref="A104:A108"/>
    <mergeCell ref="N176:N181"/>
    <mergeCell ref="N63:N129"/>
    <mergeCell ref="M234:M235"/>
    <mergeCell ref="A227:A228"/>
    <mergeCell ref="A131:A136"/>
    <mergeCell ref="B142:B145"/>
    <mergeCell ref="M218:M220"/>
    <mergeCell ref="A148:A149"/>
    <mergeCell ref="B148:B149"/>
    <mergeCell ref="A146:A147"/>
    <mergeCell ref="M202:M204"/>
    <mergeCell ref="B146:B147"/>
    <mergeCell ref="B150:B151"/>
    <mergeCell ref="A202:A204"/>
    <mergeCell ref="A184:A186"/>
    <mergeCell ref="M184:M186"/>
    <mergeCell ref="M179:M181"/>
    <mergeCell ref="A206:A208"/>
    <mergeCell ref="M214:M215"/>
    <mergeCell ref="M209:M211"/>
    <mergeCell ref="M206:M208"/>
    <mergeCell ref="M189:M191"/>
    <mergeCell ref="M199:M201"/>
    <mergeCell ref="A150:A151"/>
    <mergeCell ref="A265:F265"/>
    <mergeCell ref="A263:F263"/>
    <mergeCell ref="A249:A255"/>
    <mergeCell ref="B253:B255"/>
    <mergeCell ref="A264:F264"/>
    <mergeCell ref="B249:B252"/>
    <mergeCell ref="A179:A181"/>
    <mergeCell ref="A199:A201"/>
    <mergeCell ref="A189:A191"/>
    <mergeCell ref="A229:A231"/>
    <mergeCell ref="A238:A242"/>
    <mergeCell ref="B238:B241"/>
    <mergeCell ref="A209:A211"/>
    <mergeCell ref="A262:H262"/>
    <mergeCell ref="A244:A246"/>
    <mergeCell ref="A234:A236"/>
    <mergeCell ref="B234:B236"/>
    <mergeCell ref="A218:A220"/>
    <mergeCell ref="A214:A215"/>
    <mergeCell ref="A109:A111"/>
    <mergeCell ref="A124:A129"/>
    <mergeCell ref="A142:A145"/>
    <mergeCell ref="M74:M76"/>
    <mergeCell ref="M87:M88"/>
    <mergeCell ref="M134:M136"/>
    <mergeCell ref="M96:M98"/>
    <mergeCell ref="M112:M114"/>
    <mergeCell ref="M91:M92"/>
    <mergeCell ref="B78:B80"/>
    <mergeCell ref="M93:M94"/>
    <mergeCell ref="B118:B119"/>
    <mergeCell ref="B122:B123"/>
    <mergeCell ref="B72:B76"/>
    <mergeCell ref="A115:A123"/>
    <mergeCell ref="M124:M129"/>
    <mergeCell ref="A112:A114"/>
    <mergeCell ref="M1:N1"/>
    <mergeCell ref="M4:N4"/>
    <mergeCell ref="A16:N16"/>
    <mergeCell ref="M6:N6"/>
    <mergeCell ref="M7:N7"/>
    <mergeCell ref="N19:N20"/>
    <mergeCell ref="A17:M17"/>
    <mergeCell ref="B19:B20"/>
    <mergeCell ref="C19:F19"/>
    <mergeCell ref="M19:M20"/>
    <mergeCell ref="A19:A20"/>
    <mergeCell ref="M9:N9"/>
    <mergeCell ref="M12:N12"/>
    <mergeCell ref="M14:N14"/>
    <mergeCell ref="M15:N15"/>
    <mergeCell ref="G19:L19"/>
    <mergeCell ref="N22:N28"/>
    <mergeCell ref="B32:B34"/>
    <mergeCell ref="A37:A38"/>
    <mergeCell ref="A87:A89"/>
    <mergeCell ref="M59:M60"/>
    <mergeCell ref="N31:N39"/>
    <mergeCell ref="M50:M52"/>
    <mergeCell ref="A50:A52"/>
    <mergeCell ref="M69:M71"/>
    <mergeCell ref="B68:B71"/>
    <mergeCell ref="A68:A76"/>
    <mergeCell ref="B46:B47"/>
    <mergeCell ref="B48:B49"/>
    <mergeCell ref="A53:A55"/>
    <mergeCell ref="A56:A58"/>
    <mergeCell ref="A59:A60"/>
    <mergeCell ref="A64:A67"/>
    <mergeCell ref="B65:B66"/>
    <mergeCell ref="A22:A28"/>
    <mergeCell ref="A46:A49"/>
    <mergeCell ref="A35:A36"/>
    <mergeCell ref="B37:B38"/>
    <mergeCell ref="A32:A34"/>
  </mergeCells>
  <pageMargins left="0.23622047244094491" right="0.23622047244094491" top="0.94488188976377963" bottom="0.94488188976377963" header="0.31496062992125984" footer="0.31496062992125984"/>
  <pageSetup paperSize="9" scale="5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2025-12-30T07:40:20Z</cp:lastPrinted>
  <dcterms:created xsi:type="dcterms:W3CDTF">2015-11-05T09:45:57Z</dcterms:created>
  <dcterms:modified xsi:type="dcterms:W3CDTF">2025-12-30T07:40:23Z</dcterms:modified>
</cp:coreProperties>
</file>